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S:\PRECATORIO\Correição\Correição 2021\"/>
    </mc:Choice>
  </mc:AlternateContent>
  <bookViews>
    <workbookView xWindow="0" yWindow="0" windowWidth="28800" windowHeight="14235"/>
  </bookViews>
  <sheets>
    <sheet name="Lista 2021" sheetId="11" r:id="rId1"/>
    <sheet name="Site 2021" sheetId="12" r:id="rId2"/>
    <sheet name="Lista 2020" sheetId="9" r:id="rId3"/>
    <sheet name="Site 2020" sheetId="10" r:id="rId4"/>
    <sheet name="Lista 2019" sheetId="7" r:id="rId5"/>
    <sheet name="Site 2019" sheetId="8" r:id="rId6"/>
    <sheet name="Cálculo" sheetId="2" r:id="rId7"/>
  </sheets>
  <definedNames>
    <definedName name="_xlnm._FilterDatabase" localSheetId="2" hidden="1">'Lista 2020'!$A$3:$I$66</definedName>
    <definedName name="_xlnm._FilterDatabase" localSheetId="0" hidden="1">'Lista 2021'!$A$3:$I$58</definedName>
    <definedName name="_xlnm._FilterDatabase" localSheetId="3" hidden="1">'Site 2020'!$B$2:$F$64</definedName>
    <definedName name="_xlnm._FilterDatabase" localSheetId="1" hidden="1">'Site 2021'!$B$2:$F$50</definedName>
    <definedName name="_xlnm.Print_Area" localSheetId="5">'Site 2019'!$A$1:$F$66</definedName>
    <definedName name="_xlnm.Print_Titles" localSheetId="4">'Lista 2019'!$B:$E,'Lista 2019'!$1:$2</definedName>
    <definedName name="_xlnm.Print_Titles" localSheetId="2">'Lista 2020'!$A:$D,'Lista 2020'!$1:$4</definedName>
    <definedName name="_xlnm.Print_Titles" localSheetId="0">'Lista 2021'!$A:$D,'Lista 2021'!$1:$4</definedName>
    <definedName name="_xlnm.Print_Titles" localSheetId="5">'Site 2019'!$1:$2</definedName>
    <definedName name="_xlnm.Print_Titles" localSheetId="3">'Site 2020'!$B:$C,'Site 2020'!$1:$2</definedName>
    <definedName name="_xlnm.Print_Titles" localSheetId="1">'Site 2021'!$B:$C,'Site 2021'!$1:$2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1" l="1"/>
  <c r="F6" i="11"/>
  <c r="F5" i="11"/>
  <c r="F44" i="11" l="1"/>
  <c r="F31" i="11"/>
  <c r="F32" i="11" l="1"/>
  <c r="I32" i="11" s="1"/>
  <c r="F21" i="11" l="1"/>
  <c r="D73" i="11" l="1"/>
  <c r="B73" i="11"/>
  <c r="F53" i="11"/>
  <c r="I53" i="11" s="1"/>
  <c r="F52" i="11"/>
  <c r="I52" i="11" s="1"/>
  <c r="F51" i="11"/>
  <c r="I51" i="11" s="1"/>
  <c r="F50" i="11"/>
  <c r="I50" i="11" s="1"/>
  <c r="F49" i="11"/>
  <c r="I49" i="11" s="1"/>
  <c r="F48" i="11"/>
  <c r="I48" i="11" s="1"/>
  <c r="F47" i="11"/>
  <c r="I47" i="11" s="1"/>
  <c r="F46" i="11"/>
  <c r="I46" i="11" s="1"/>
  <c r="F45" i="11"/>
  <c r="I45" i="11" s="1"/>
  <c r="F43" i="11"/>
  <c r="I43" i="11" s="1"/>
  <c r="F42" i="11"/>
  <c r="I42" i="11" s="1"/>
  <c r="F41" i="11"/>
  <c r="I41" i="11" s="1"/>
  <c r="F40" i="11"/>
  <c r="I40" i="11" s="1"/>
  <c r="F39" i="11"/>
  <c r="I39" i="11" s="1"/>
  <c r="F38" i="11"/>
  <c r="I38" i="11" s="1"/>
  <c r="F37" i="11"/>
  <c r="I37" i="11" s="1"/>
  <c r="F36" i="11"/>
  <c r="I36" i="11" s="1"/>
  <c r="F35" i="11"/>
  <c r="I35" i="11" s="1"/>
  <c r="F34" i="11"/>
  <c r="I34" i="11" s="1"/>
  <c r="F33" i="11"/>
  <c r="I33" i="11" s="1"/>
  <c r="F30" i="11"/>
  <c r="I30" i="11" s="1"/>
  <c r="F29" i="11"/>
  <c r="I29" i="11" s="1"/>
  <c r="F28" i="11"/>
  <c r="I28" i="11" s="1"/>
  <c r="F27" i="11"/>
  <c r="I27" i="11" s="1"/>
  <c r="F26" i="11"/>
  <c r="I26" i="11" s="1"/>
  <c r="F25" i="11"/>
  <c r="I25" i="11" s="1"/>
  <c r="F24" i="11"/>
  <c r="I24" i="11" s="1"/>
  <c r="F23" i="11"/>
  <c r="I23" i="11" s="1"/>
  <c r="F22" i="11"/>
  <c r="I22" i="11" s="1"/>
  <c r="I21" i="11"/>
  <c r="F20" i="11"/>
  <c r="I20" i="11" s="1"/>
  <c r="F19" i="11"/>
  <c r="I19" i="11" s="1"/>
  <c r="I18" i="11"/>
  <c r="F17" i="11"/>
  <c r="I17" i="11" s="1"/>
  <c r="F16" i="11"/>
  <c r="I16" i="11" s="1"/>
  <c r="F15" i="11"/>
  <c r="I15" i="11" s="1"/>
  <c r="F14" i="11"/>
  <c r="I14" i="11" s="1"/>
  <c r="F13" i="11"/>
  <c r="I13" i="11" s="1"/>
  <c r="F12" i="11"/>
  <c r="I12" i="11" s="1"/>
  <c r="F11" i="11"/>
  <c r="I11" i="11" s="1"/>
  <c r="F10" i="11"/>
  <c r="I10" i="11" s="1"/>
  <c r="F9" i="11"/>
  <c r="I9" i="11" s="1"/>
  <c r="F8" i="11"/>
  <c r="I8" i="11" s="1"/>
  <c r="F7" i="11"/>
  <c r="I7" i="11" s="1"/>
  <c r="B65" i="11" l="1"/>
  <c r="I5" i="11"/>
  <c r="B62" i="11"/>
  <c r="B63" i="11"/>
  <c r="B64" i="11"/>
  <c r="I5" i="9"/>
  <c r="B66" i="11" l="1"/>
  <c r="C65" i="11" s="1"/>
  <c r="F67" i="11"/>
  <c r="F65" i="11"/>
  <c r="F64" i="11"/>
  <c r="F63" i="11"/>
  <c r="F66" i="11"/>
  <c r="G12" i="7"/>
  <c r="C64" i="11" l="1"/>
  <c r="C63" i="11"/>
  <c r="C62" i="11"/>
  <c r="F68" i="11"/>
  <c r="H63" i="11" s="1"/>
  <c r="H64" i="11" s="1"/>
  <c r="H65" i="11" s="1"/>
  <c r="H66" i="11" s="1"/>
  <c r="H67" i="11" s="1"/>
  <c r="C70" i="7"/>
  <c r="C66" i="11" l="1"/>
  <c r="D81" i="9"/>
  <c r="B81" i="9"/>
  <c r="F16" i="9" l="1"/>
  <c r="F6" i="9" l="1"/>
  <c r="F8" i="9"/>
  <c r="F9" i="9"/>
  <c r="F10" i="9"/>
  <c r="F11" i="9"/>
  <c r="F12" i="9"/>
  <c r="F13" i="9"/>
  <c r="F14" i="9"/>
  <c r="F15" i="9"/>
  <c r="F17" i="9"/>
  <c r="F18" i="9"/>
  <c r="F19" i="9"/>
  <c r="F20" i="9"/>
  <c r="F22" i="9"/>
  <c r="F23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5" i="9"/>
  <c r="B72" i="9" l="1"/>
  <c r="B73" i="9"/>
  <c r="B71" i="9"/>
  <c r="B70" i="9"/>
  <c r="I7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B74" i="9" l="1"/>
  <c r="C70" i="9" s="1"/>
  <c r="I6" i="9"/>
  <c r="I8" i="9"/>
  <c r="C72" i="9" l="1"/>
  <c r="F75" i="9"/>
  <c r="F71" i="9"/>
  <c r="F73" i="9"/>
  <c r="F72" i="9"/>
  <c r="F74" i="9"/>
  <c r="G13" i="7"/>
  <c r="F76" i="9" l="1"/>
  <c r="J13" i="7"/>
  <c r="J20" i="7"/>
  <c r="J23" i="7"/>
  <c r="D76" i="7" a="1"/>
  <c r="D76" i="7" s="1"/>
  <c r="G63" i="7"/>
  <c r="J63" i="7" s="1"/>
  <c r="G62" i="7"/>
  <c r="J62" i="7" s="1"/>
  <c r="G61" i="7"/>
  <c r="J61" i="7" s="1"/>
  <c r="G60" i="7"/>
  <c r="J60" i="7" s="1"/>
  <c r="G59" i="7"/>
  <c r="J59" i="7" s="1"/>
  <c r="G58" i="7"/>
  <c r="J58" i="7" s="1"/>
  <c r="G57" i="7"/>
  <c r="J57" i="7" s="1"/>
  <c r="G56" i="7"/>
  <c r="J56" i="7" s="1"/>
  <c r="G55" i="7"/>
  <c r="J55" i="7" s="1"/>
  <c r="G54" i="7"/>
  <c r="J54" i="7" s="1"/>
  <c r="G53" i="7"/>
  <c r="J53" i="7" s="1"/>
  <c r="G52" i="7"/>
  <c r="J52" i="7" s="1"/>
  <c r="G51" i="7"/>
  <c r="J51" i="7" s="1"/>
  <c r="G50" i="7"/>
  <c r="J50" i="7" s="1"/>
  <c r="G49" i="7"/>
  <c r="J49" i="7" s="1"/>
  <c r="G48" i="7"/>
  <c r="J48" i="7" s="1"/>
  <c r="G47" i="7"/>
  <c r="J47" i="7" s="1"/>
  <c r="G46" i="7"/>
  <c r="J46" i="7" s="1"/>
  <c r="G45" i="7"/>
  <c r="J45" i="7" s="1"/>
  <c r="G44" i="7"/>
  <c r="J44" i="7" s="1"/>
  <c r="G43" i="7"/>
  <c r="J43" i="7" s="1"/>
  <c r="G42" i="7"/>
  <c r="J42" i="7" s="1"/>
  <c r="G41" i="7"/>
  <c r="J41" i="7" s="1"/>
  <c r="G40" i="7"/>
  <c r="J40" i="7" s="1"/>
  <c r="G39" i="7"/>
  <c r="J39" i="7" s="1"/>
  <c r="G38" i="7"/>
  <c r="J38" i="7" s="1"/>
  <c r="G37" i="7"/>
  <c r="J37" i="7" s="1"/>
  <c r="G36" i="7"/>
  <c r="J36" i="7" s="1"/>
  <c r="G35" i="7"/>
  <c r="J35" i="7" s="1"/>
  <c r="G34" i="7"/>
  <c r="J34" i="7" s="1"/>
  <c r="G33" i="7"/>
  <c r="J33" i="7" s="1"/>
  <c r="G32" i="7"/>
  <c r="J32" i="7" s="1"/>
  <c r="G31" i="7"/>
  <c r="J31" i="7" s="1"/>
  <c r="G30" i="7"/>
  <c r="J30" i="7" s="1"/>
  <c r="G29" i="7"/>
  <c r="J29" i="7" s="1"/>
  <c r="G28" i="7"/>
  <c r="J28" i="7" s="1"/>
  <c r="G27" i="7"/>
  <c r="J27" i="7" s="1"/>
  <c r="G26" i="7"/>
  <c r="J26" i="7" s="1"/>
  <c r="G25" i="7"/>
  <c r="J25" i="7" s="1"/>
  <c r="G24" i="7"/>
  <c r="J24" i="7" s="1"/>
  <c r="G22" i="7"/>
  <c r="J22" i="7" s="1"/>
  <c r="G21" i="7"/>
  <c r="J21" i="7" s="1"/>
  <c r="G19" i="7"/>
  <c r="J19" i="7" s="1"/>
  <c r="G18" i="7"/>
  <c r="J18" i="7" s="1"/>
  <c r="G17" i="7"/>
  <c r="J17" i="7" s="1"/>
  <c r="G16" i="7"/>
  <c r="J16" i="7" s="1"/>
  <c r="G15" i="7"/>
  <c r="J15" i="7" s="1"/>
  <c r="G14" i="7"/>
  <c r="J14" i="7" s="1"/>
  <c r="J12" i="7"/>
  <c r="G11" i="7"/>
  <c r="J11" i="7" s="1"/>
  <c r="G10" i="7"/>
  <c r="J10" i="7" s="1"/>
  <c r="G9" i="7"/>
  <c r="J9" i="7" s="1"/>
  <c r="G8" i="7"/>
  <c r="J8" i="7" s="1"/>
  <c r="G7" i="7"/>
  <c r="J7" i="7" s="1"/>
  <c r="G6" i="7"/>
  <c r="J6" i="7" s="1"/>
  <c r="G5" i="7"/>
  <c r="J5" i="7" s="1"/>
  <c r="G4" i="7"/>
  <c r="J4" i="7" s="1"/>
  <c r="G3" i="7"/>
  <c r="J3" i="7" s="1"/>
  <c r="C73" i="9" l="1"/>
  <c r="C71" i="9"/>
  <c r="H77" i="7"/>
  <c r="H72" i="7"/>
  <c r="H74" i="7"/>
  <c r="H78" i="7"/>
  <c r="H76" i="7"/>
  <c r="H75" i="7"/>
  <c r="H73" i="7"/>
  <c r="H71" i="7"/>
  <c r="C71" i="7"/>
  <c r="D71" i="7" s="1"/>
  <c r="C72" i="7"/>
  <c r="D72" i="7" s="1"/>
  <c r="C74" i="9" l="1"/>
  <c r="H79" i="7"/>
  <c r="I71" i="7" s="1"/>
  <c r="I72" i="7" s="1"/>
  <c r="I73" i="7" s="1"/>
  <c r="I74" i="7" s="1"/>
  <c r="I75" i="7" s="1"/>
  <c r="I76" i="7" s="1"/>
  <c r="I77" i="7" s="1"/>
  <c r="I78" i="7" s="1"/>
  <c r="D70" i="7"/>
  <c r="D73" i="7" s="1"/>
  <c r="C73" i="7"/>
  <c r="B3" i="2" l="1"/>
  <c r="B6" i="2" s="1"/>
  <c r="B9" i="2" l="1"/>
  <c r="H71" i="9"/>
  <c r="H72" i="9" s="1"/>
  <c r="H73" i="9" s="1"/>
  <c r="H74" i="9" s="1"/>
  <c r="H75" i="9" s="1"/>
  <c r="D9" i="2" l="1"/>
</calcChain>
</file>

<file path=xl/sharedStrings.xml><?xml version="1.0" encoding="utf-8"?>
<sst xmlns="http://schemas.openxmlformats.org/spreadsheetml/2006/main" count="884" uniqueCount="155">
  <si>
    <t>Canoinhas</t>
  </si>
  <si>
    <t>Capivari de Baixo</t>
  </si>
  <si>
    <t>Dionísio Cerqueira</t>
  </si>
  <si>
    <t>Praia Grande</t>
  </si>
  <si>
    <t>Siderópolis</t>
  </si>
  <si>
    <t>Taió</t>
  </si>
  <si>
    <t>Timbé do Sul</t>
  </si>
  <si>
    <t>São Joaquim</t>
  </si>
  <si>
    <t>São Francisco do Sul</t>
  </si>
  <si>
    <t>Não apresentou</t>
  </si>
  <si>
    <t>Plano Pagamento</t>
  </si>
  <si>
    <t>DEVEDOR</t>
  </si>
  <si>
    <t>PLANOS DE PAGAMENTO ENTES DEVEDORES NO REGIME ESPECIAL - EMENDA CONSTITUCIONAL 99/2017</t>
  </si>
  <si>
    <t xml:space="preserve"> Percentual mínimo da RCL - Artigo 101 ADCT </t>
  </si>
  <si>
    <t>Valor da parcela mensal em Janeiro/2019</t>
  </si>
  <si>
    <t>Aprovado</t>
  </si>
  <si>
    <t>Araranguá*</t>
  </si>
  <si>
    <t>Percentual Suficiente quitação em 2024</t>
  </si>
  <si>
    <t>Percentual utilizado em 2019</t>
  </si>
  <si>
    <t>Parcela  suficiente para quitar débito até 2024 (saldo/meses)</t>
  </si>
  <si>
    <t xml:space="preserve">Percentual da RCL equivalente à parcela (parcela/médiaRCL x 100) </t>
  </si>
  <si>
    <t>Janeiro</t>
  </si>
  <si>
    <t>Previsão de saída do Regime Especial de acordo com a EC 99</t>
  </si>
  <si>
    <t>Montante da dívida até o orçamento de 2019</t>
  </si>
  <si>
    <t>Ouro Verde</t>
  </si>
  <si>
    <t>Data jan.2019</t>
  </si>
  <si>
    <t>Data dez.2024</t>
  </si>
  <si>
    <t>Média da receita corrente líquida em 12 meses</t>
  </si>
  <si>
    <t>OK</t>
  </si>
  <si>
    <t>Atualizar</t>
  </si>
  <si>
    <t>Revisar</t>
  </si>
  <si>
    <t>Menores que 1%</t>
  </si>
  <si>
    <t>De 1% a 2%</t>
  </si>
  <si>
    <t>Maiores que 2%</t>
  </si>
  <si>
    <t>RESUMO - 2019</t>
  </si>
  <si>
    <t>Abelardo Luz</t>
  </si>
  <si>
    <t>Alfredo Wagner</t>
  </si>
  <si>
    <t>Anchieta</t>
  </si>
  <si>
    <t>Balneário Arroio da Silva</t>
  </si>
  <si>
    <t>Balneário Barra do Sul</t>
  </si>
  <si>
    <t>Balneário Gaivota</t>
  </si>
  <si>
    <t>Balneário Piçarras</t>
  </si>
  <si>
    <t>Biguaçu</t>
  </si>
  <si>
    <t>Brusque</t>
  </si>
  <si>
    <t>Camboriú</t>
  </si>
  <si>
    <t>Campo Erê</t>
  </si>
  <si>
    <t>Caxambu do Sul</t>
  </si>
  <si>
    <t>Chapecó</t>
  </si>
  <si>
    <t>Correia Pinto</t>
  </si>
  <si>
    <t>Erval Velho</t>
  </si>
  <si>
    <t>Florianópolis</t>
  </si>
  <si>
    <t>Gravatal</t>
  </si>
  <si>
    <t>Içara</t>
  </si>
  <si>
    <t>Ilhota</t>
  </si>
  <si>
    <t>Imbituba</t>
  </si>
  <si>
    <t>Irati</t>
  </si>
  <si>
    <t>Ituporanga</t>
  </si>
  <si>
    <t>Jacinto Machado</t>
  </si>
  <si>
    <t>Jaguaruna</t>
  </si>
  <si>
    <t>Lages</t>
  </si>
  <si>
    <t>Lauro Müller</t>
  </si>
  <si>
    <t>Lebon Régis</t>
  </si>
  <si>
    <t>Major Vieira</t>
  </si>
  <si>
    <t>Maravilha</t>
  </si>
  <si>
    <t>Monte Carlo</t>
  </si>
  <si>
    <t>Morro da Fumaça</t>
  </si>
  <si>
    <t>Orleans</t>
  </si>
  <si>
    <t>Otacílio Costa</t>
  </si>
  <si>
    <t>Pedras Grandes</t>
  </si>
  <si>
    <t>Pinhalzinho</t>
  </si>
  <si>
    <t>Ponte Serrada</t>
  </si>
  <si>
    <t>Romelândia</t>
  </si>
  <si>
    <t>Santa Cecília</t>
  </si>
  <si>
    <t>Santa Rosa do Sul</t>
  </si>
  <si>
    <t>São Domingos</t>
  </si>
  <si>
    <t>São João Batista</t>
  </si>
  <si>
    <t>São João do Sul</t>
  </si>
  <si>
    <t>São José</t>
  </si>
  <si>
    <t>São José do Cerrito</t>
  </si>
  <si>
    <t>São Lourenço do Oeste</t>
  </si>
  <si>
    <t>Três Barras</t>
  </si>
  <si>
    <t>Tubarão</t>
  </si>
  <si>
    <t>Urussanga</t>
  </si>
  <si>
    <t>Municípios que mantiveram o % da EC 94</t>
  </si>
  <si>
    <t>Ano</t>
  </si>
  <si>
    <t>Nº de municípios</t>
  </si>
  <si>
    <t>Previsão de saída do Regime Especial</t>
  </si>
  <si>
    <t>Total</t>
  </si>
  <si>
    <t>Fórmula para previsão de saíxa máx em 2024</t>
  </si>
  <si>
    <t>SE(OU(G3="";H3="";I3="");"";MÍNIMO(DATAM($M$1;ARRED(I3/H3;0));$M$2))</t>
  </si>
  <si>
    <t>Após 2025</t>
  </si>
  <si>
    <t>Saldo de município</t>
  </si>
  <si>
    <t>Criciúma**</t>
  </si>
  <si>
    <t>Estado de Santa Catarina***</t>
  </si>
  <si>
    <t>*Liminar Reclamação STF 32050</t>
  </si>
  <si>
    <t>**Liminar Reclamação STF 32017</t>
  </si>
  <si>
    <t>***Liminar Reclamação STF 31209</t>
  </si>
  <si>
    <t>Fórmula para previsão de saída sem data limite</t>
  </si>
  <si>
    <t>SE(OU(G3="";H3="";I3="");"";DATAM($M$1;ARRED(I3/H3;0)))</t>
  </si>
  <si>
    <t>PLANOS DE PAGAMENTO DOS ENTES DEVEDORES NO REGIME ESPECIAL - EXERCÍCIO DE 2019 - EMENDA CONSTITUCIONAL 99/2017</t>
  </si>
  <si>
    <t>Ente Devedor</t>
  </si>
  <si>
    <t>Plano de Pagamento</t>
  </si>
  <si>
    <t>Percentual da RCL - Artigo 101 ADCT</t>
  </si>
  <si>
    <t>Resolução CNJ nº 303/2019</t>
  </si>
  <si>
    <t>Percentuais</t>
  </si>
  <si>
    <t>Valor da parcela mensal em Janeiro/2020</t>
  </si>
  <si>
    <t>Suficiente para quitação em 2024</t>
  </si>
  <si>
    <t xml:space="preserve">Mínimo - Artigo 101 ADCT </t>
  </si>
  <si>
    <t>Utilizado em 2020</t>
  </si>
  <si>
    <t>Montante da dívida até o orçamento de 2020</t>
  </si>
  <si>
    <t>RESUMO - 2020</t>
  </si>
  <si>
    <t>Dívida por Natureza do Precatório (Regime Especial)</t>
  </si>
  <si>
    <t>Alimentar</t>
  </si>
  <si>
    <t>Comum</t>
  </si>
  <si>
    <t>Tipo</t>
  </si>
  <si>
    <t>Valores</t>
  </si>
  <si>
    <t>Proporção</t>
  </si>
  <si>
    <t>Saldo de municípios</t>
  </si>
  <si>
    <t>Até 1%</t>
  </si>
  <si>
    <t>De 1,01% a 2%</t>
  </si>
  <si>
    <t>De 2,01% a 3%</t>
  </si>
  <si>
    <t>Maiores que 3%</t>
  </si>
  <si>
    <t>****Previsão de saída do Regime Especial de acordo com a EC 99 considerando a dívida até o orçamento de 2020</t>
  </si>
  <si>
    <t>Previsão de saída do Regime Especial****</t>
  </si>
  <si>
    <t>Indeferido</t>
  </si>
  <si>
    <t>PLANOS DE PAGAMENTO ENTES DEVEDORES NO REGIME ESPECIAL - EXERCÍCIO DE 2020 - EMENDA CONSTITUCIONAL 99/2017</t>
  </si>
  <si>
    <t>Balneário Arroio do Silva</t>
  </si>
  <si>
    <t>Homologado</t>
  </si>
  <si>
    <t>*Liminar Reclamação STF 32050 - A partir de julho/2020 o percentual adotado será de 3,17%.</t>
  </si>
  <si>
    <t>Data jan.2020</t>
  </si>
  <si>
    <t>Data jan.2021</t>
  </si>
  <si>
    <t>Montante da dívida até o orçamento de 2021</t>
  </si>
  <si>
    <t>Utilizado em 2021</t>
  </si>
  <si>
    <t>Resoluçãp 303/2019</t>
  </si>
  <si>
    <t>EC 99/2017</t>
  </si>
  <si>
    <r>
      <t>Valor da parcela mensal em Janeiro/2021</t>
    </r>
    <r>
      <rPr>
        <b/>
        <vertAlign val="superscript"/>
        <sz val="11"/>
        <rFont val="Calibri"/>
        <family val="2"/>
        <scheme val="minor"/>
      </rPr>
      <t>1</t>
    </r>
  </si>
  <si>
    <r>
      <t>Previsão de saída do Regime Especial</t>
    </r>
    <r>
      <rPr>
        <b/>
        <vertAlign val="superscript"/>
        <sz val="11"/>
        <rFont val="Calibri"/>
        <family val="2"/>
        <scheme val="minor"/>
      </rPr>
      <t>2</t>
    </r>
  </si>
  <si>
    <r>
      <t>Araranguá</t>
    </r>
    <r>
      <rPr>
        <vertAlign val="superscript"/>
        <sz val="11"/>
        <rFont val="Calibri"/>
        <family val="2"/>
        <scheme val="minor"/>
      </rPr>
      <t>3</t>
    </r>
  </si>
  <si>
    <r>
      <t>Criciúma</t>
    </r>
    <r>
      <rPr>
        <vertAlign val="superscript"/>
        <sz val="11"/>
        <rFont val="Calibri"/>
        <family val="2"/>
        <scheme val="minor"/>
      </rPr>
      <t>4</t>
    </r>
  </si>
  <si>
    <r>
      <t>Estado de Santa Catarina</t>
    </r>
    <r>
      <rPr>
        <vertAlign val="superscript"/>
        <sz val="11"/>
        <rFont val="Calibri"/>
        <family val="2"/>
        <scheme val="minor"/>
      </rPr>
      <t>5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</si>
  <si>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Previsão de saída do Regime Especial de acordo com a EC 99 considerando a dívida até o orçamento de 2021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</si>
  <si>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Liminar Reclamação STF 32050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</si>
  <si>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>Liminar Reclamação STF 32017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</si>
  <si>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9"/>
        <color theme="1"/>
        <rFont val="Calibri"/>
        <family val="2"/>
        <scheme val="minor"/>
      </rPr>
      <t>Liminar Reclamação STF 31209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</si>
  <si>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Valores calculados com base nos prazos definidos no artigo 64, incisoI, da Resolução-CNJ 303/2019</t>
    </r>
  </si>
  <si>
    <t>RESUMO - 2021</t>
  </si>
  <si>
    <r>
      <t>Valor da parcela mensal em Janeiro/2021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</si>
  <si>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Previsão de saída do Regime Especial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</si>
  <si>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PLANOS DE PAGAMENTO ENTES DEVEDORES NO REGIME ESPECIAL - EXERCÍCIO DE 2021 - RESOLUÇÃO-CNJ 303/2019, ART. 64</t>
  </si>
  <si>
    <t>Estado de Santa Catarina</t>
  </si>
  <si>
    <t>Araranguá</t>
  </si>
  <si>
    <t>Meses restantes no regime especial (2021 a 2024)</t>
  </si>
  <si>
    <t>Saldo de precatórios a pagar (Adm. Direta e Indireta até orçamento 2021)*</t>
  </si>
  <si>
    <r>
      <t>Criciúma</t>
    </r>
    <r>
      <rPr>
        <b/>
        <vertAlign val="superscript"/>
        <sz val="1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</si>
  <si>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Liminar Reclamação STF 32017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</si>
</sst>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&quot;\ #,##0.00;[Red]\-&quot;R$&quot;\ #,##0.00"/>
    <numFmt numFmtId="165" formatCode="&quot;R$&quot;\ #,##0.00"/>
    <numFmt numFmtId="166" formatCode="[$R$-416]\ #,##0.00;[Red]\-[$R$-416]\ #,##0.00"/>
    <numFmt numFmtId="167" formatCode="[$-416]mmm\-yy;@"/>
    <numFmt numFmtId="168" formatCode="0.000%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166" fontId="0" fillId="0" borderId="0" xfId="0" applyNumberFormat="1"/>
    <xf numFmtId="10" fontId="0" fillId="0" borderId="0" xfId="1" applyNumberFormat="1" applyFont="1"/>
    <xf numFmtId="166" fontId="4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67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/>
    <xf numFmtId="14" fontId="1" fillId="0" borderId="0" xfId="0" applyNumberFormat="1" applyFont="1" applyProtection="1"/>
    <xf numFmtId="0" fontId="1" fillId="0" borderId="0" xfId="0" applyFont="1" applyAlignment="1" applyProtection="1">
      <alignment vertical="center" wrapText="1"/>
    </xf>
    <xf numFmtId="14" fontId="1" fillId="0" borderId="0" xfId="0" applyNumberFormat="1" applyFont="1" applyAlignment="1" applyProtection="1">
      <alignment vertical="center" wrapText="1"/>
    </xf>
    <xf numFmtId="167" fontId="5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10" fontId="10" fillId="0" borderId="1" xfId="1" applyNumberFormat="1" applyFont="1" applyFill="1" applyBorder="1" applyAlignment="1" applyProtection="1">
      <alignment horizontal="center"/>
      <protection locked="0"/>
    </xf>
    <xf numFmtId="10" fontId="9" fillId="0" borderId="1" xfId="1" applyNumberFormat="1" applyFont="1" applyFill="1" applyBorder="1" applyAlignment="1" applyProtection="1">
      <alignment horizontal="center"/>
      <protection locked="0"/>
    </xf>
    <xf numFmtId="165" fontId="9" fillId="0" borderId="1" xfId="1" applyNumberFormat="1" applyFont="1" applyFill="1" applyBorder="1" applyAlignment="1" applyProtection="1">
      <alignment horizontal="center"/>
      <protection locked="0"/>
    </xf>
    <xf numFmtId="165" fontId="10" fillId="0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7" fontId="9" fillId="0" borderId="1" xfId="1" applyNumberFormat="1" applyFont="1" applyFill="1" applyBorder="1" applyAlignment="1" applyProtection="1">
      <alignment horizontal="center"/>
      <protection locked="0"/>
    </xf>
    <xf numFmtId="10" fontId="4" fillId="0" borderId="1" xfId="1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0" fontId="3" fillId="0" borderId="1" xfId="1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7" fontId="1" fillId="0" borderId="0" xfId="0" applyNumberFormat="1" applyFont="1" applyProtection="1"/>
    <xf numFmtId="167" fontId="6" fillId="0" borderId="0" xfId="0" applyNumberFormat="1" applyFont="1" applyProtection="1"/>
    <xf numFmtId="167" fontId="7" fillId="0" borderId="0" xfId="0" applyNumberFormat="1" applyFont="1" applyProtection="1"/>
    <xf numFmtId="167" fontId="8" fillId="0" borderId="0" xfId="0" applyNumberFormat="1" applyFont="1" applyProtection="1"/>
    <xf numFmtId="0" fontId="8" fillId="0" borderId="0" xfId="0" applyFont="1" applyProtection="1"/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7" fontId="8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17" fontId="9" fillId="0" borderId="0" xfId="1" applyNumberFormat="1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left"/>
      <protection locked="0"/>
    </xf>
    <xf numFmtId="10" fontId="10" fillId="0" borderId="0" xfId="1" applyNumberFormat="1" applyFont="1" applyFill="1" applyBorder="1" applyAlignment="1" applyProtection="1">
      <alignment horizontal="center"/>
      <protection locked="0"/>
    </xf>
    <xf numFmtId="165" fontId="10" fillId="0" borderId="0" xfId="1" applyNumberFormat="1" applyFont="1" applyFill="1" applyBorder="1" applyAlignment="1" applyProtection="1">
      <alignment horizontal="center"/>
      <protection locked="0"/>
    </xf>
    <xf numFmtId="17" fontId="10" fillId="0" borderId="0" xfId="1" applyNumberFormat="1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10" fontId="2" fillId="0" borderId="0" xfId="1" applyNumberFormat="1" applyFont="1" applyFill="1" applyBorder="1" applyAlignment="1" applyProtection="1">
      <alignment horizontal="center"/>
      <protection locked="0"/>
    </xf>
    <xf numFmtId="165" fontId="2" fillId="0" borderId="0" xfId="1" applyNumberFormat="1" applyFont="1" applyFill="1" applyBorder="1" applyAlignment="1" applyProtection="1">
      <alignment horizontal="center"/>
      <protection locked="0"/>
    </xf>
    <xf numFmtId="17" fontId="2" fillId="0" borderId="0" xfId="1" applyNumberFormat="1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165" fontId="16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17" fontId="10" fillId="0" borderId="1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167" fontId="5" fillId="0" borderId="0" xfId="0" applyNumberFormat="1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10" fontId="4" fillId="0" borderId="1" xfId="1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0" fontId="10" fillId="6" borderId="1" xfId="1" applyNumberFormat="1" applyFont="1" applyFill="1" applyBorder="1" applyAlignment="1" applyProtection="1">
      <alignment horizontal="center"/>
      <protection locked="0"/>
    </xf>
    <xf numFmtId="165" fontId="10" fillId="6" borderId="1" xfId="1" applyNumberFormat="1" applyFont="1" applyFill="1" applyBorder="1" applyAlignment="1" applyProtection="1">
      <alignment horizontal="center"/>
      <protection locked="0"/>
    </xf>
    <xf numFmtId="17" fontId="10" fillId="6" borderId="1" xfId="1" applyNumberFormat="1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168" fontId="10" fillId="6" borderId="1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1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10" fontId="2" fillId="0" borderId="1" xfId="1" applyNumberFormat="1" applyFont="1" applyBorder="1" applyAlignment="1" applyProtection="1">
      <alignment horizontal="center"/>
      <protection locked="0"/>
    </xf>
    <xf numFmtId="10" fontId="4" fillId="0" borderId="1" xfId="1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Porcentagem" xfId="1" builtinId="5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a24" displayName="Tabela24" ref="B2:F50" totalsRowShown="0" headerRowDxfId="55" dataDxfId="54" tableBorderDxfId="53" dataCellStyle="Porcentagem">
  <tableColumns count="5">
    <tableColumn id="2" name="DEVEDOR" dataDxfId="52"/>
    <tableColumn id="3" name="Plano de Pagamento" dataDxfId="51" dataCellStyle="Porcentagem"/>
    <tableColumn id="4" name="Utilizado em 2021" dataDxfId="50" dataCellStyle="Porcentagem"/>
    <tableColumn id="5" name="Valor da parcela mensal em Janeiro/20211" dataDxfId="49" dataCellStyle="Porcentagem"/>
    <tableColumn id="6" name="Previsão de saída do Regime Especial2" dataDxfId="48" dataCellStyle="Porcentagem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B2:F60" totalsRowShown="0" headerRowDxfId="29" dataDxfId="28" tableBorderDxfId="27" dataCellStyle="Porcentagem">
  <tableColumns count="5">
    <tableColumn id="2" name="DEVEDOR" dataDxfId="26"/>
    <tableColumn id="3" name="Plano de Pagamento" dataDxfId="25" dataCellStyle="Porcentagem"/>
    <tableColumn id="4" name="Utilizado em 2020" dataDxfId="24" dataCellStyle="Porcentagem"/>
    <tableColumn id="5" name="Valor da parcela mensal em Janeiro/2020" dataDxfId="23" dataCellStyle="Porcentagem"/>
    <tableColumn id="6" name="Previsão de saída do Regime Especial****" dataDxfId="22" dataCellStyle="Porcentagem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1" name="Tabela3" displayName="Tabela3" ref="B2:F63" totalsRowShown="0" headerRowDxfId="6" dataDxfId="5" headerRowCellStyle="Porcentagem" dataCellStyle="Porcentagem">
  <tableColumns count="5">
    <tableColumn id="2" name="Ente Devedor" dataDxfId="4"/>
    <tableColumn id="3" name="Plano de Pagamento" dataDxfId="3" dataCellStyle="Porcentagem"/>
    <tableColumn id="4" name="Percentual da RCL - Artigo 101 ADCT" dataDxfId="2" dataCellStyle="Porcentagem"/>
    <tableColumn id="5" name="Valor da parcela mensal em Janeiro/2019" dataDxfId="1" dataCellStyle="Porcentagem"/>
    <tableColumn id="6" name="Previsão de saída do Regime Especial de acordo com a EC 99" dataDxfId="0" dataCellStyle="Porcentagem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workbookViewId="0">
      <pane ySplit="4" topLeftCell="A5" activePane="bottomLeft" state="frozen"/>
      <selection pane="bottomLeft" activeCell="A56" sqref="A56"/>
    </sheetView>
  </sheetViews>
  <sheetFormatPr defaultRowHeight="15.75" x14ac:dyDescent="0.25"/>
  <cols>
    <col min="1" max="1" width="25.7109375" style="10" customWidth="1"/>
    <col min="2" max="2" width="16.140625" style="16" customWidth="1"/>
    <col min="3" max="3" width="14.140625" style="10" customWidth="1"/>
    <col min="4" max="4" width="12.5703125" style="16" customWidth="1"/>
    <col min="5" max="5" width="13.140625" style="16" customWidth="1"/>
    <col min="6" max="6" width="11" style="10" customWidth="1"/>
    <col min="7" max="7" width="16" style="10" customWidth="1"/>
    <col min="8" max="8" width="17.7109375" style="16" customWidth="1"/>
    <col min="9" max="9" width="14" style="6" customWidth="1"/>
    <col min="10" max="10" width="7.7109375" style="6" customWidth="1"/>
    <col min="11" max="12" width="12.140625" style="6" customWidth="1"/>
    <col min="13" max="13" width="1" style="6" customWidth="1"/>
    <col min="14" max="14" width="9.140625" style="6" customWidth="1"/>
    <col min="15" max="16384" width="9.140625" style="6"/>
  </cols>
  <sheetData>
    <row r="1" spans="1:12" x14ac:dyDescent="0.25">
      <c r="A1" s="90" t="s">
        <v>12</v>
      </c>
      <c r="B1" s="90"/>
      <c r="C1" s="90"/>
      <c r="D1" s="90"/>
      <c r="E1" s="90"/>
      <c r="F1" s="90"/>
      <c r="G1" s="90"/>
      <c r="H1" s="90"/>
      <c r="I1" s="90"/>
      <c r="K1" s="11" t="s">
        <v>130</v>
      </c>
      <c r="L1" s="12">
        <v>44196</v>
      </c>
    </row>
    <row r="2" spans="1:12" x14ac:dyDescent="0.25">
      <c r="A2" s="81"/>
      <c r="B2" s="81"/>
      <c r="C2" s="81"/>
      <c r="D2" s="81"/>
      <c r="E2" s="81"/>
      <c r="F2" s="81"/>
      <c r="G2" s="81"/>
      <c r="H2" s="81"/>
      <c r="I2" s="81"/>
      <c r="K2" s="11"/>
      <c r="L2" s="12"/>
    </row>
    <row r="3" spans="1:12" x14ac:dyDescent="0.25">
      <c r="A3" s="91" t="s">
        <v>11</v>
      </c>
      <c r="B3" s="91" t="s">
        <v>101</v>
      </c>
      <c r="C3" s="92" t="s">
        <v>104</v>
      </c>
      <c r="D3" s="92"/>
      <c r="E3" s="92"/>
      <c r="F3" s="92"/>
      <c r="G3" s="91" t="s">
        <v>135</v>
      </c>
      <c r="H3" s="91" t="s">
        <v>131</v>
      </c>
      <c r="I3" s="91" t="s">
        <v>136</v>
      </c>
      <c r="K3" s="11"/>
      <c r="L3" s="12"/>
    </row>
    <row r="4" spans="1:12" s="8" customFormat="1" ht="45" x14ac:dyDescent="0.25">
      <c r="A4" s="91"/>
      <c r="B4" s="91"/>
      <c r="C4" s="82" t="s">
        <v>106</v>
      </c>
      <c r="D4" s="82" t="s">
        <v>107</v>
      </c>
      <c r="E4" s="82" t="s">
        <v>103</v>
      </c>
      <c r="F4" s="82" t="s">
        <v>132</v>
      </c>
      <c r="G4" s="91"/>
      <c r="H4" s="91"/>
      <c r="I4" s="91"/>
      <c r="K4" s="13" t="s">
        <v>26</v>
      </c>
      <c r="L4" s="14">
        <v>45657</v>
      </c>
    </row>
    <row r="5" spans="1:12" x14ac:dyDescent="0.25">
      <c r="A5" s="25" t="s">
        <v>35</v>
      </c>
      <c r="B5" s="20" t="s">
        <v>9</v>
      </c>
      <c r="C5" s="20">
        <v>1.2200000000000001E-2</v>
      </c>
      <c r="D5" s="20">
        <v>5.7000000000000002E-3</v>
      </c>
      <c r="E5" s="20">
        <v>0.01</v>
      </c>
      <c r="F5" s="20">
        <f>LARGE(C5:E5,1)</f>
        <v>1.2200000000000001E-2</v>
      </c>
      <c r="G5" s="23">
        <v>66405.503566145824</v>
      </c>
      <c r="H5" s="23">
        <v>3187464.1711749998</v>
      </c>
      <c r="I5" s="67">
        <f t="shared" ref="I5:I13" si="0">IF(OR(F5="",G5="",H5=""),"",EDATE($L$1,ROUND(H5/G5,0)))</f>
        <v>45657</v>
      </c>
      <c r="J5" s="66"/>
      <c r="K5" s="35" t="s">
        <v>28</v>
      </c>
      <c r="L5" s="11"/>
    </row>
    <row r="6" spans="1:12" ht="17.25" x14ac:dyDescent="0.25">
      <c r="A6" s="25" t="s">
        <v>137</v>
      </c>
      <c r="B6" s="20" t="s">
        <v>127</v>
      </c>
      <c r="C6" s="20">
        <v>3.7600000000000001E-2</v>
      </c>
      <c r="D6" s="20">
        <v>5.5899999999999998E-2</v>
      </c>
      <c r="E6" s="20">
        <v>0.01</v>
      </c>
      <c r="F6" s="20">
        <f>C6</f>
        <v>3.7600000000000001E-2</v>
      </c>
      <c r="G6" s="23">
        <v>468174.04770833324</v>
      </c>
      <c r="H6" s="23">
        <v>22472354.289999995</v>
      </c>
      <c r="I6" s="67">
        <f>IF(OR(F6="",G6="",H6=""),"",EDATE($L$1,ROUND(H6/G6,0)))</f>
        <v>45657</v>
      </c>
      <c r="K6" s="36" t="s">
        <v>29</v>
      </c>
      <c r="L6" s="11"/>
    </row>
    <row r="7" spans="1:12" x14ac:dyDescent="0.25">
      <c r="A7" s="25" t="s">
        <v>126</v>
      </c>
      <c r="B7" s="20" t="s">
        <v>9</v>
      </c>
      <c r="C7" s="20">
        <v>2.8E-3</v>
      </c>
      <c r="D7" s="20">
        <v>8.0000000000000004E-4</v>
      </c>
      <c r="E7" s="20">
        <v>0.01</v>
      </c>
      <c r="F7" s="20">
        <f t="shared" ref="F7:F13" si="1">LARGE(C7:E7,1)</f>
        <v>0.01</v>
      </c>
      <c r="G7" s="23">
        <v>30103.477699999999</v>
      </c>
      <c r="H7" s="23">
        <v>408212.22150000004</v>
      </c>
      <c r="I7" s="67">
        <f t="shared" si="0"/>
        <v>44620</v>
      </c>
      <c r="K7" s="37" t="s">
        <v>30</v>
      </c>
      <c r="L7" s="39" t="s">
        <v>89</v>
      </c>
    </row>
    <row r="8" spans="1:12" x14ac:dyDescent="0.25">
      <c r="A8" s="25" t="s">
        <v>39</v>
      </c>
      <c r="B8" s="20" t="s">
        <v>9</v>
      </c>
      <c r="C8" s="20">
        <v>4.1000000000000003E-3</v>
      </c>
      <c r="D8" s="20">
        <v>3.2000000000000002E-3</v>
      </c>
      <c r="E8" s="20">
        <v>0.01</v>
      </c>
      <c r="F8" s="20">
        <f t="shared" si="1"/>
        <v>0.01</v>
      </c>
      <c r="G8" s="23">
        <v>38289.738291666668</v>
      </c>
      <c r="H8" s="23">
        <v>755518</v>
      </c>
      <c r="I8" s="67">
        <f t="shared" si="0"/>
        <v>44804</v>
      </c>
      <c r="J8" s="46"/>
      <c r="K8" s="38" t="s">
        <v>88</v>
      </c>
      <c r="L8" s="18" t="s">
        <v>98</v>
      </c>
    </row>
    <row r="9" spans="1:12" x14ac:dyDescent="0.25">
      <c r="A9" s="25" t="s">
        <v>40</v>
      </c>
      <c r="B9" s="20" t="s">
        <v>9</v>
      </c>
      <c r="C9" s="20">
        <v>1.9E-3</v>
      </c>
      <c r="D9" s="20">
        <v>9.4163029851287595E-3</v>
      </c>
      <c r="E9" s="20">
        <v>0.01</v>
      </c>
      <c r="F9" s="20">
        <f t="shared" si="1"/>
        <v>0.01</v>
      </c>
      <c r="G9" s="23">
        <v>33172.985316666665</v>
      </c>
      <c r="H9" s="23">
        <v>298270.02744999999</v>
      </c>
      <c r="I9" s="67">
        <f t="shared" si="0"/>
        <v>44469</v>
      </c>
      <c r="K9" s="42" t="s">
        <v>97</v>
      </c>
    </row>
    <row r="10" spans="1:12" x14ac:dyDescent="0.25">
      <c r="A10" s="25" t="s">
        <v>41</v>
      </c>
      <c r="B10" s="20" t="s">
        <v>124</v>
      </c>
      <c r="C10" s="20">
        <v>1.1000000000000001E-3</v>
      </c>
      <c r="D10" s="20">
        <v>4.3E-3</v>
      </c>
      <c r="E10" s="20">
        <v>0.01</v>
      </c>
      <c r="F10" s="20">
        <f t="shared" si="1"/>
        <v>0.01</v>
      </c>
      <c r="G10" s="23">
        <v>104365.62854999999</v>
      </c>
      <c r="H10" s="23">
        <v>540545.41870000015</v>
      </c>
      <c r="I10" s="67">
        <f t="shared" si="0"/>
        <v>44347</v>
      </c>
      <c r="K10" s="9"/>
    </row>
    <row r="11" spans="1:12" x14ac:dyDescent="0.25">
      <c r="A11" s="25" t="s">
        <v>42</v>
      </c>
      <c r="B11" s="20" t="s">
        <v>9</v>
      </c>
      <c r="C11" s="20">
        <v>6.0000000000000001E-3</v>
      </c>
      <c r="D11" s="20">
        <v>3.8999999999999998E-3</v>
      </c>
      <c r="E11" s="20">
        <v>0.01</v>
      </c>
      <c r="F11" s="20">
        <f t="shared" si="1"/>
        <v>0.01</v>
      </c>
      <c r="G11" s="23">
        <v>176298.99209166665</v>
      </c>
      <c r="H11" s="23">
        <v>5063117.389541666</v>
      </c>
      <c r="I11" s="67">
        <f t="shared" si="0"/>
        <v>45077</v>
      </c>
    </row>
    <row r="12" spans="1:12" x14ac:dyDescent="0.25">
      <c r="A12" s="25" t="s">
        <v>43</v>
      </c>
      <c r="B12" s="20" t="s">
        <v>127</v>
      </c>
      <c r="C12" s="20">
        <v>1.35E-2</v>
      </c>
      <c r="D12" s="20">
        <v>0.01</v>
      </c>
      <c r="E12" s="20">
        <v>0.01</v>
      </c>
      <c r="F12" s="20">
        <f t="shared" si="1"/>
        <v>1.35E-2</v>
      </c>
      <c r="G12" s="23">
        <v>498227.44101562485</v>
      </c>
      <c r="H12" s="23">
        <v>23914917.168749992</v>
      </c>
      <c r="I12" s="67">
        <f t="shared" si="0"/>
        <v>45657</v>
      </c>
      <c r="K12" s="9"/>
    </row>
    <row r="13" spans="1:12" x14ac:dyDescent="0.25">
      <c r="A13" s="25" t="s">
        <v>44</v>
      </c>
      <c r="B13" s="20" t="s">
        <v>124</v>
      </c>
      <c r="C13" s="20">
        <v>5.5999999999999999E-3</v>
      </c>
      <c r="D13" s="20">
        <v>3.7000000000000002E-3</v>
      </c>
      <c r="E13" s="20">
        <v>0.01</v>
      </c>
      <c r="F13" s="20">
        <f t="shared" si="1"/>
        <v>0.01</v>
      </c>
      <c r="G13" s="23">
        <v>170579.03738333334</v>
      </c>
      <c r="H13" s="23">
        <v>4618627.143083333</v>
      </c>
      <c r="I13" s="67">
        <f t="shared" si="0"/>
        <v>45016</v>
      </c>
      <c r="K13" s="9"/>
    </row>
    <row r="14" spans="1:12" x14ac:dyDescent="0.25">
      <c r="A14" s="25" t="s">
        <v>45</v>
      </c>
      <c r="B14" s="20" t="s">
        <v>9</v>
      </c>
      <c r="C14" s="20">
        <v>4.8999999999999998E-3</v>
      </c>
      <c r="D14" s="20">
        <v>2.0210698856246136E-2</v>
      </c>
      <c r="E14" s="20">
        <v>0.01</v>
      </c>
      <c r="F14" s="20">
        <f t="shared" ref="F14:F53" si="2">LARGE(C14:E14,1)</f>
        <v>2.0210698856246136E-2</v>
      </c>
      <c r="G14" s="23">
        <v>54609.244387999999</v>
      </c>
      <c r="H14" s="23">
        <v>634097.31012549088</v>
      </c>
      <c r="I14" s="67">
        <f t="shared" ref="I14:I53" si="3">IF(OR(F14="",G14="",H14=""),"",EDATE($L$1,ROUND(H14/G14,0)))</f>
        <v>44561</v>
      </c>
      <c r="K14" s="9"/>
    </row>
    <row r="15" spans="1:12" s="17" customFormat="1" x14ac:dyDescent="0.25">
      <c r="A15" s="25" t="s">
        <v>0</v>
      </c>
      <c r="B15" s="20" t="s">
        <v>9</v>
      </c>
      <c r="C15" s="20">
        <v>2.3999999999999998E-3</v>
      </c>
      <c r="D15" s="20">
        <v>6.6E-3</v>
      </c>
      <c r="E15" s="20">
        <v>0.01</v>
      </c>
      <c r="F15" s="20">
        <f t="shared" si="2"/>
        <v>0.01</v>
      </c>
      <c r="G15" s="23">
        <v>128799.24143333331</v>
      </c>
      <c r="H15" s="23">
        <v>1456328.2728333336</v>
      </c>
      <c r="I15" s="67">
        <f t="shared" si="3"/>
        <v>44530</v>
      </c>
      <c r="K15" s="15"/>
    </row>
    <row r="16" spans="1:12" s="17" customFormat="1" x14ac:dyDescent="0.25">
      <c r="A16" s="25" t="s">
        <v>1</v>
      </c>
      <c r="B16" s="20" t="s">
        <v>9</v>
      </c>
      <c r="C16" s="20">
        <v>6.9999999999999999E-4</v>
      </c>
      <c r="D16" s="20">
        <v>4.1000000000000003E-3</v>
      </c>
      <c r="E16" s="20">
        <v>0.01</v>
      </c>
      <c r="F16" s="20">
        <f t="shared" si="2"/>
        <v>0.01</v>
      </c>
      <c r="G16" s="23">
        <v>65782.584858333328</v>
      </c>
      <c r="H16" s="23">
        <v>236440.30570833338</v>
      </c>
      <c r="I16" s="67">
        <f t="shared" si="3"/>
        <v>44316</v>
      </c>
      <c r="K16" s="15"/>
    </row>
    <row r="17" spans="1:11" x14ac:dyDescent="0.25">
      <c r="A17" s="25" t="s">
        <v>48</v>
      </c>
      <c r="B17" s="20" t="s">
        <v>9</v>
      </c>
      <c r="C17" s="20">
        <v>3.3599999999999998E-2</v>
      </c>
      <c r="D17" s="20">
        <v>1.67E-2</v>
      </c>
      <c r="E17" s="20">
        <v>0.01</v>
      </c>
      <c r="F17" s="20">
        <f t="shared" si="2"/>
        <v>3.3599999999999998E-2</v>
      </c>
      <c r="G17" s="23">
        <v>138440.37458404715</v>
      </c>
      <c r="H17" s="23">
        <v>6645137.9800342629</v>
      </c>
      <c r="I17" s="67">
        <f t="shared" si="3"/>
        <v>45657</v>
      </c>
      <c r="K17" s="9"/>
    </row>
    <row r="18" spans="1:11" ht="17.25" x14ac:dyDescent="0.25">
      <c r="A18" s="25" t="s">
        <v>138</v>
      </c>
      <c r="B18" s="20" t="s">
        <v>127</v>
      </c>
      <c r="C18" s="20">
        <v>2.1100000000000001E-2</v>
      </c>
      <c r="D18" s="20">
        <v>2.75E-2</v>
      </c>
      <c r="E18" s="20">
        <v>0.01</v>
      </c>
      <c r="F18" s="20">
        <v>2.1100000000000001E-2</v>
      </c>
      <c r="G18" s="23">
        <v>1303395.1889490762</v>
      </c>
      <c r="H18" s="23">
        <v>62562969.069555663</v>
      </c>
      <c r="I18" s="67">
        <f t="shared" si="3"/>
        <v>45657</v>
      </c>
      <c r="K18" s="9"/>
    </row>
    <row r="19" spans="1:11" s="17" customFormat="1" x14ac:dyDescent="0.25">
      <c r="A19" s="25" t="s">
        <v>2</v>
      </c>
      <c r="B19" s="20" t="s">
        <v>9</v>
      </c>
      <c r="C19" s="20">
        <v>2E-3</v>
      </c>
      <c r="D19" s="20">
        <v>1.17E-2</v>
      </c>
      <c r="E19" s="20">
        <v>0.01</v>
      </c>
      <c r="F19" s="20">
        <f t="shared" si="2"/>
        <v>1.17E-2</v>
      </c>
      <c r="G19" s="23">
        <v>43802.656745250002</v>
      </c>
      <c r="H19" s="23">
        <v>358417.01999999996</v>
      </c>
      <c r="I19" s="67">
        <f t="shared" si="3"/>
        <v>44439</v>
      </c>
      <c r="K19" s="15"/>
    </row>
    <row r="20" spans="1:11" x14ac:dyDescent="0.25">
      <c r="A20" s="25" t="s">
        <v>49</v>
      </c>
      <c r="B20" s="20" t="s">
        <v>9</v>
      </c>
      <c r="C20" s="20">
        <v>1.0800000000000001E-2</v>
      </c>
      <c r="D20" s="20">
        <v>1.29E-2</v>
      </c>
      <c r="E20" s="20">
        <v>0.01</v>
      </c>
      <c r="F20" s="20">
        <f t="shared" si="2"/>
        <v>1.29E-2</v>
      </c>
      <c r="G20" s="23">
        <v>22230.330361000004</v>
      </c>
      <c r="H20" s="23">
        <v>893776.74734662985</v>
      </c>
      <c r="I20" s="67">
        <f t="shared" si="3"/>
        <v>45412</v>
      </c>
      <c r="K20" s="9"/>
    </row>
    <row r="21" spans="1:11" ht="17.25" x14ac:dyDescent="0.25">
      <c r="A21" s="25" t="s">
        <v>139</v>
      </c>
      <c r="B21" s="20" t="s">
        <v>127</v>
      </c>
      <c r="C21" s="20">
        <v>1.7899999999999999E-2</v>
      </c>
      <c r="D21" s="20">
        <v>1.6500000000000001E-2</v>
      </c>
      <c r="E21" s="20">
        <v>1.4999999999999999E-2</v>
      </c>
      <c r="F21" s="20">
        <f>C21</f>
        <v>1.7899999999999999E-2</v>
      </c>
      <c r="G21" s="23">
        <v>37865584.362291664</v>
      </c>
      <c r="H21" s="23">
        <v>1817548049.3899999</v>
      </c>
      <c r="I21" s="67">
        <f t="shared" si="3"/>
        <v>45657</v>
      </c>
      <c r="K21" s="9"/>
    </row>
    <row r="22" spans="1:11" x14ac:dyDescent="0.25">
      <c r="A22" s="25" t="s">
        <v>50</v>
      </c>
      <c r="B22" s="20" t="s">
        <v>9</v>
      </c>
      <c r="C22" s="20">
        <v>1.0800000000000001E-2</v>
      </c>
      <c r="D22" s="20">
        <v>1.4500000000000001E-2</v>
      </c>
      <c r="E22" s="20">
        <v>0.01</v>
      </c>
      <c r="F22" s="20">
        <f t="shared" si="2"/>
        <v>1.4500000000000001E-2</v>
      </c>
      <c r="G22" s="23">
        <v>2212724.9083295832</v>
      </c>
      <c r="H22" s="23">
        <v>78968306.457111642</v>
      </c>
      <c r="I22" s="67">
        <f t="shared" si="3"/>
        <v>45291</v>
      </c>
      <c r="K22" s="9"/>
    </row>
    <row r="23" spans="1:11" x14ac:dyDescent="0.25">
      <c r="A23" s="25" t="s">
        <v>51</v>
      </c>
      <c r="B23" s="20" t="s">
        <v>9</v>
      </c>
      <c r="C23" s="20">
        <v>1.4500000000000001E-2</v>
      </c>
      <c r="D23" s="20">
        <v>6.6E-3</v>
      </c>
      <c r="E23" s="20">
        <v>0.01</v>
      </c>
      <c r="F23" s="20">
        <f t="shared" si="2"/>
        <v>1.4500000000000001E-2</v>
      </c>
      <c r="G23" s="23">
        <v>37875.638848090282</v>
      </c>
      <c r="H23" s="23">
        <v>1818030.6647083336</v>
      </c>
      <c r="I23" s="67">
        <f t="shared" si="3"/>
        <v>45657</v>
      </c>
      <c r="K23" s="9"/>
    </row>
    <row r="24" spans="1:11" x14ac:dyDescent="0.25">
      <c r="A24" s="25" t="s">
        <v>52</v>
      </c>
      <c r="B24" s="20" t="s">
        <v>9</v>
      </c>
      <c r="C24" s="20">
        <v>5.1999999999999998E-3</v>
      </c>
      <c r="D24" s="20">
        <v>8.8000000000000005E-3</v>
      </c>
      <c r="E24" s="20">
        <v>0.01</v>
      </c>
      <c r="F24" s="20">
        <f t="shared" si="2"/>
        <v>0.01</v>
      </c>
      <c r="G24" s="23">
        <v>151107.29815000005</v>
      </c>
      <c r="H24" s="23">
        <v>3783161.5592499995</v>
      </c>
      <c r="I24" s="67">
        <f t="shared" si="3"/>
        <v>44957</v>
      </c>
      <c r="K24" s="9"/>
    </row>
    <row r="25" spans="1:11" x14ac:dyDescent="0.25">
      <c r="A25" s="25" t="s">
        <v>54</v>
      </c>
      <c r="B25" s="20" t="s">
        <v>9</v>
      </c>
      <c r="C25" s="20">
        <v>1.1599999999999999E-2</v>
      </c>
      <c r="D25" s="20">
        <v>1.66E-2</v>
      </c>
      <c r="E25" s="20">
        <v>0.01</v>
      </c>
      <c r="F25" s="20">
        <f t="shared" si="2"/>
        <v>1.66E-2</v>
      </c>
      <c r="G25" s="23">
        <v>228034.61845833337</v>
      </c>
      <c r="H25" s="23">
        <v>7652245.6856082305</v>
      </c>
      <c r="I25" s="67">
        <f t="shared" si="3"/>
        <v>45230</v>
      </c>
      <c r="K25" s="9"/>
    </row>
    <row r="26" spans="1:11" x14ac:dyDescent="0.25">
      <c r="A26" s="25" t="s">
        <v>56</v>
      </c>
      <c r="B26" s="20" t="s">
        <v>9</v>
      </c>
      <c r="C26" s="20">
        <v>5.7000000000000002E-3</v>
      </c>
      <c r="D26" s="20">
        <v>1.0999999999999999E-2</v>
      </c>
      <c r="E26" s="20">
        <v>0.01</v>
      </c>
      <c r="F26" s="20">
        <f t="shared" si="2"/>
        <v>1.0999999999999999E-2</v>
      </c>
      <c r="G26" s="23">
        <v>65132.609987499993</v>
      </c>
      <c r="H26" s="23">
        <v>1627301.49</v>
      </c>
      <c r="I26" s="67">
        <f t="shared" si="3"/>
        <v>44957</v>
      </c>
      <c r="K26" s="9"/>
    </row>
    <row r="27" spans="1:11" x14ac:dyDescent="0.25">
      <c r="A27" s="25" t="s">
        <v>57</v>
      </c>
      <c r="B27" s="20" t="s">
        <v>9</v>
      </c>
      <c r="C27" s="20">
        <v>4.1000000000000003E-3</v>
      </c>
      <c r="D27" s="20">
        <v>1.2800000000000001E-2</v>
      </c>
      <c r="E27" s="20">
        <v>0.01</v>
      </c>
      <c r="F27" s="20">
        <f t="shared" si="2"/>
        <v>1.2800000000000001E-2</v>
      </c>
      <c r="G27" s="23">
        <v>36151.531050666665</v>
      </c>
      <c r="H27" s="23">
        <v>557277.65999999992</v>
      </c>
      <c r="I27" s="67">
        <f t="shared" si="3"/>
        <v>44651</v>
      </c>
      <c r="K27" s="9"/>
    </row>
    <row r="28" spans="1:11" x14ac:dyDescent="0.25">
      <c r="A28" s="25" t="s">
        <v>58</v>
      </c>
      <c r="B28" s="20" t="s">
        <v>9</v>
      </c>
      <c r="C28" s="20">
        <v>3.3099999999999997E-2</v>
      </c>
      <c r="D28" s="20">
        <v>1.89E-2</v>
      </c>
      <c r="E28" s="20">
        <v>0.01</v>
      </c>
      <c r="F28" s="20">
        <f t="shared" si="2"/>
        <v>3.3099999999999997E-2</v>
      </c>
      <c r="G28" s="23">
        <v>184677.85729166667</v>
      </c>
      <c r="H28" s="23">
        <v>8864537.1500000004</v>
      </c>
      <c r="I28" s="67">
        <f t="shared" si="3"/>
        <v>45657</v>
      </c>
      <c r="K28" s="9"/>
    </row>
    <row r="29" spans="1:11" x14ac:dyDescent="0.25">
      <c r="A29" s="25" t="s">
        <v>59</v>
      </c>
      <c r="B29" s="20" t="s">
        <v>9</v>
      </c>
      <c r="C29" s="20">
        <v>1.6000000000000001E-3</v>
      </c>
      <c r="D29" s="20">
        <v>1.2800000000000001E-2</v>
      </c>
      <c r="E29" s="20">
        <v>0.01</v>
      </c>
      <c r="F29" s="20">
        <f t="shared" si="2"/>
        <v>1.2800000000000001E-2</v>
      </c>
      <c r="G29" s="23">
        <v>623380.89212800004</v>
      </c>
      <c r="H29" s="23">
        <v>3751542.5628958438</v>
      </c>
      <c r="I29" s="67">
        <f t="shared" si="3"/>
        <v>44377</v>
      </c>
      <c r="K29" s="9"/>
    </row>
    <row r="30" spans="1:11" x14ac:dyDescent="0.25">
      <c r="A30" s="25" t="s">
        <v>60</v>
      </c>
      <c r="B30" s="20" t="s">
        <v>9</v>
      </c>
      <c r="C30" s="20">
        <v>1.9099999999999999E-2</v>
      </c>
      <c r="D30" s="20">
        <v>3.4799999999999998E-2</v>
      </c>
      <c r="E30" s="20">
        <v>0.01</v>
      </c>
      <c r="F30" s="20">
        <f t="shared" si="2"/>
        <v>3.4799999999999998E-2</v>
      </c>
      <c r="G30" s="23">
        <v>145449.59851299998</v>
      </c>
      <c r="H30" s="23">
        <v>3837807.7465549982</v>
      </c>
      <c r="I30" s="67">
        <f t="shared" si="3"/>
        <v>44985</v>
      </c>
      <c r="K30" s="9"/>
    </row>
    <row r="31" spans="1:11" x14ac:dyDescent="0.25">
      <c r="A31" s="87" t="s">
        <v>61</v>
      </c>
      <c r="B31" s="84" t="s">
        <v>9</v>
      </c>
      <c r="C31" s="84">
        <v>0</v>
      </c>
      <c r="D31" s="84">
        <v>7.9000000000000008E-3</v>
      </c>
      <c r="E31" s="84">
        <v>0.01</v>
      </c>
      <c r="F31" s="84">
        <f t="shared" si="2"/>
        <v>0.01</v>
      </c>
      <c r="G31" s="85">
        <v>0</v>
      </c>
      <c r="H31" s="85">
        <v>0</v>
      </c>
      <c r="I31" s="86">
        <v>44166</v>
      </c>
      <c r="K31" s="9"/>
    </row>
    <row r="32" spans="1:11" x14ac:dyDescent="0.25">
      <c r="A32" s="25" t="s">
        <v>62</v>
      </c>
      <c r="B32" s="20" t="s">
        <v>9</v>
      </c>
      <c r="C32" s="20">
        <v>5.1000000000000004E-3</v>
      </c>
      <c r="D32" s="20">
        <v>8.3000000000000001E-3</v>
      </c>
      <c r="E32" s="20">
        <v>0.01</v>
      </c>
      <c r="F32" s="20">
        <f t="shared" si="2"/>
        <v>0.01</v>
      </c>
      <c r="G32" s="23">
        <v>23150.424233333335</v>
      </c>
      <c r="H32" s="23">
        <v>571024.26883333339</v>
      </c>
      <c r="I32" s="67">
        <f t="shared" si="3"/>
        <v>44957</v>
      </c>
      <c r="K32" s="9"/>
    </row>
    <row r="33" spans="1:11" x14ac:dyDescent="0.25">
      <c r="A33" s="25" t="s">
        <v>63</v>
      </c>
      <c r="B33" s="20" t="s">
        <v>9</v>
      </c>
      <c r="C33" s="20">
        <v>8.3999999999999995E-3</v>
      </c>
      <c r="D33" s="20">
        <v>2.8E-3</v>
      </c>
      <c r="E33" s="20">
        <v>0.01</v>
      </c>
      <c r="F33" s="20">
        <f t="shared" si="2"/>
        <v>0.01</v>
      </c>
      <c r="G33" s="23">
        <v>70206.22751666668</v>
      </c>
      <c r="H33" s="23">
        <v>2826893.672416667</v>
      </c>
      <c r="I33" s="67">
        <f t="shared" si="3"/>
        <v>45412</v>
      </c>
      <c r="K33" s="9"/>
    </row>
    <row r="34" spans="1:11" x14ac:dyDescent="0.25">
      <c r="A34" s="25" t="s">
        <v>64</v>
      </c>
      <c r="B34" s="20" t="s">
        <v>9</v>
      </c>
      <c r="C34" s="20">
        <v>2E-3</v>
      </c>
      <c r="D34" s="20">
        <v>7.4999999999999997E-3</v>
      </c>
      <c r="E34" s="20">
        <v>0.01</v>
      </c>
      <c r="F34" s="20">
        <f t="shared" si="2"/>
        <v>0.01</v>
      </c>
      <c r="G34" s="23">
        <v>25968.020100000002</v>
      </c>
      <c r="H34" s="23">
        <v>254748.14940000002</v>
      </c>
      <c r="I34" s="67">
        <f t="shared" si="3"/>
        <v>44500</v>
      </c>
      <c r="K34" s="9"/>
    </row>
    <row r="35" spans="1:11" x14ac:dyDescent="0.25">
      <c r="A35" s="25" t="s">
        <v>65</v>
      </c>
      <c r="B35" s="20" t="s">
        <v>127</v>
      </c>
      <c r="C35" s="20">
        <v>3.5000000000000001E-3</v>
      </c>
      <c r="D35" s="20">
        <v>1.35E-2</v>
      </c>
      <c r="E35" s="20">
        <v>0.01</v>
      </c>
      <c r="F35" s="20">
        <f t="shared" si="2"/>
        <v>1.35E-2</v>
      </c>
      <c r="G35" s="23">
        <v>71120.41714125</v>
      </c>
      <c r="H35" s="23">
        <v>880297.86999999988</v>
      </c>
      <c r="I35" s="67">
        <f t="shared" si="3"/>
        <v>44561</v>
      </c>
      <c r="K35" s="9"/>
    </row>
    <row r="36" spans="1:11" x14ac:dyDescent="0.25">
      <c r="A36" s="25" t="s">
        <v>66</v>
      </c>
      <c r="B36" s="20" t="s">
        <v>9</v>
      </c>
      <c r="C36" s="20">
        <v>3.0999999999999999E-3</v>
      </c>
      <c r="D36" s="20">
        <v>8.2000000000000007E-3</v>
      </c>
      <c r="E36" s="20">
        <v>0.01</v>
      </c>
      <c r="F36" s="20">
        <f t="shared" si="2"/>
        <v>0.01</v>
      </c>
      <c r="G36" s="23">
        <v>65121.730491666676</v>
      </c>
      <c r="H36" s="23">
        <v>956753.47803333367</v>
      </c>
      <c r="I36" s="67">
        <f t="shared" si="3"/>
        <v>44651</v>
      </c>
      <c r="K36" s="9"/>
    </row>
    <row r="37" spans="1:11" x14ac:dyDescent="0.25">
      <c r="A37" s="25" t="s">
        <v>67</v>
      </c>
      <c r="B37" s="20" t="s">
        <v>9</v>
      </c>
      <c r="C37" s="20">
        <v>1.8200000000000001E-2</v>
      </c>
      <c r="D37" s="20">
        <v>1.2800000000000001E-2</v>
      </c>
      <c r="E37" s="20">
        <v>0.01</v>
      </c>
      <c r="F37" s="20">
        <f t="shared" si="2"/>
        <v>1.8200000000000001E-2</v>
      </c>
      <c r="G37" s="23">
        <v>102590.87022566657</v>
      </c>
      <c r="H37" s="23">
        <v>4924361.7708319956</v>
      </c>
      <c r="I37" s="67">
        <f t="shared" si="3"/>
        <v>45657</v>
      </c>
      <c r="K37" s="9"/>
    </row>
    <row r="38" spans="1:11" s="17" customFormat="1" x14ac:dyDescent="0.25">
      <c r="A38" s="87" t="s">
        <v>24</v>
      </c>
      <c r="B38" s="84" t="s">
        <v>9</v>
      </c>
      <c r="C38" s="89">
        <v>3.0000000000000001E-5</v>
      </c>
      <c r="D38" s="84">
        <v>1.2500000000000001E-2</v>
      </c>
      <c r="E38" s="84">
        <v>0.01</v>
      </c>
      <c r="F38" s="84">
        <f t="shared" si="2"/>
        <v>1.2500000000000001E-2</v>
      </c>
      <c r="G38" s="85">
        <v>17431.019989583332</v>
      </c>
      <c r="H38" s="85">
        <v>2028.1366578597442</v>
      </c>
      <c r="I38" s="86">
        <f t="shared" si="3"/>
        <v>44196</v>
      </c>
      <c r="K38" s="15"/>
    </row>
    <row r="39" spans="1:11" x14ac:dyDescent="0.25">
      <c r="A39" s="25" t="s">
        <v>69</v>
      </c>
      <c r="B39" s="20" t="s">
        <v>127</v>
      </c>
      <c r="C39" s="20">
        <v>2.5999999999999999E-3</v>
      </c>
      <c r="D39" s="20">
        <v>3.8E-3</v>
      </c>
      <c r="E39" s="20">
        <v>0.01</v>
      </c>
      <c r="F39" s="20">
        <f t="shared" si="2"/>
        <v>0.01</v>
      </c>
      <c r="G39" s="23">
        <v>60472.296950000004</v>
      </c>
      <c r="H39" s="23">
        <v>745994.68524999998</v>
      </c>
      <c r="I39" s="67">
        <f t="shared" si="3"/>
        <v>44561</v>
      </c>
      <c r="K39" s="9"/>
    </row>
    <row r="40" spans="1:11" x14ac:dyDescent="0.25">
      <c r="A40" s="25" t="s">
        <v>70</v>
      </c>
      <c r="B40" s="20" t="s">
        <v>9</v>
      </c>
      <c r="C40" s="20">
        <v>0.02</v>
      </c>
      <c r="D40" s="20">
        <v>1.1000000000000001E-3</v>
      </c>
      <c r="E40" s="20">
        <v>0.01</v>
      </c>
      <c r="F40" s="20">
        <f t="shared" si="2"/>
        <v>0.02</v>
      </c>
      <c r="G40" s="23">
        <v>56903.723562958497</v>
      </c>
      <c r="H40" s="23">
        <v>2731378.7310220078</v>
      </c>
      <c r="I40" s="67">
        <f t="shared" si="3"/>
        <v>45657</v>
      </c>
      <c r="K40" s="9"/>
    </row>
    <row r="41" spans="1:11" s="17" customFormat="1" x14ac:dyDescent="0.25">
      <c r="A41" s="25" t="s">
        <v>3</v>
      </c>
      <c r="B41" s="20" t="s">
        <v>9</v>
      </c>
      <c r="C41" s="20">
        <v>8.0000000000000002E-3</v>
      </c>
      <c r="D41" s="20">
        <v>9.1000000000000004E-3</v>
      </c>
      <c r="E41" s="20">
        <v>0.01</v>
      </c>
      <c r="F41" s="20">
        <f t="shared" si="2"/>
        <v>0.01</v>
      </c>
      <c r="G41" s="23">
        <v>21505.532141666663</v>
      </c>
      <c r="H41" s="23">
        <v>826500.75929166703</v>
      </c>
      <c r="I41" s="67">
        <f t="shared" si="3"/>
        <v>45351</v>
      </c>
      <c r="K41" s="15"/>
    </row>
    <row r="42" spans="1:11" x14ac:dyDescent="0.25">
      <c r="A42" s="25" t="s">
        <v>71</v>
      </c>
      <c r="B42" s="20" t="s">
        <v>9</v>
      </c>
      <c r="C42" s="20">
        <v>2.3999999999999998E-3</v>
      </c>
      <c r="D42" s="20">
        <v>3.1600000000000003E-2</v>
      </c>
      <c r="E42" s="20">
        <v>0.01</v>
      </c>
      <c r="F42" s="20">
        <f t="shared" si="2"/>
        <v>3.1600000000000003E-2</v>
      </c>
      <c r="G42" s="23">
        <v>49019.181261333331</v>
      </c>
      <c r="H42" s="23">
        <v>177128.95975999997</v>
      </c>
      <c r="I42" s="67">
        <f t="shared" si="3"/>
        <v>44316</v>
      </c>
      <c r="K42" s="9"/>
    </row>
    <row r="43" spans="1:11" x14ac:dyDescent="0.25">
      <c r="A43" s="25" t="s">
        <v>73</v>
      </c>
      <c r="B43" s="20" t="s">
        <v>9</v>
      </c>
      <c r="C43" s="20">
        <v>5.1999999999999998E-3</v>
      </c>
      <c r="D43" s="20">
        <v>1.4E-3</v>
      </c>
      <c r="E43" s="20">
        <v>0.01</v>
      </c>
      <c r="F43" s="20">
        <f t="shared" si="2"/>
        <v>0.01</v>
      </c>
      <c r="G43" s="23">
        <v>22431.743116666665</v>
      </c>
      <c r="H43" s="23">
        <v>558154.76818333333</v>
      </c>
      <c r="I43" s="67">
        <f t="shared" si="3"/>
        <v>44957</v>
      </c>
      <c r="K43" s="9"/>
    </row>
    <row r="44" spans="1:11" x14ac:dyDescent="0.25">
      <c r="A44" s="87" t="s">
        <v>74</v>
      </c>
      <c r="B44" s="84" t="s">
        <v>9</v>
      </c>
      <c r="C44" s="84">
        <v>0</v>
      </c>
      <c r="D44" s="84">
        <v>6.6E-3</v>
      </c>
      <c r="E44" s="84">
        <v>0.01</v>
      </c>
      <c r="F44" s="84">
        <f t="shared" si="2"/>
        <v>0.01</v>
      </c>
      <c r="G44" s="85">
        <v>0</v>
      </c>
      <c r="H44" s="85">
        <v>0</v>
      </c>
      <c r="I44" s="86">
        <v>44166</v>
      </c>
      <c r="K44" s="9"/>
    </row>
    <row r="45" spans="1:11" s="17" customFormat="1" x14ac:dyDescent="0.25">
      <c r="A45" s="87" t="s">
        <v>8</v>
      </c>
      <c r="B45" s="84" t="s">
        <v>9</v>
      </c>
      <c r="C45" s="84">
        <v>1.4E-3</v>
      </c>
      <c r="D45" s="84">
        <v>1.06E-2</v>
      </c>
      <c r="E45" s="84">
        <v>0.01</v>
      </c>
      <c r="F45" s="84">
        <f t="shared" si="2"/>
        <v>1.06E-2</v>
      </c>
      <c r="G45" s="85">
        <v>239522.3929755</v>
      </c>
      <c r="H45" s="85">
        <v>166614.01</v>
      </c>
      <c r="I45" s="86">
        <f t="shared" si="3"/>
        <v>44227</v>
      </c>
      <c r="K45" s="15"/>
    </row>
    <row r="46" spans="1:11" x14ac:dyDescent="0.25">
      <c r="A46" s="25" t="s">
        <v>77</v>
      </c>
      <c r="B46" s="20" t="s">
        <v>9</v>
      </c>
      <c r="C46" s="20">
        <v>9.4000000000000004E-3</v>
      </c>
      <c r="D46" s="20">
        <v>6.1000000000000004E-3</v>
      </c>
      <c r="E46" s="20">
        <v>0.01</v>
      </c>
      <c r="F46" s="20">
        <f t="shared" si="2"/>
        <v>0.01</v>
      </c>
      <c r="G46" s="23">
        <v>575446.74528333335</v>
      </c>
      <c r="H46" s="23">
        <v>26027183.033583332</v>
      </c>
      <c r="I46" s="67">
        <f t="shared" si="3"/>
        <v>45565</v>
      </c>
      <c r="K46" s="9"/>
    </row>
    <row r="47" spans="1:11" x14ac:dyDescent="0.25">
      <c r="A47" s="25" t="s">
        <v>78</v>
      </c>
      <c r="B47" s="20" t="s">
        <v>9</v>
      </c>
      <c r="C47" s="20">
        <v>1.72E-2</v>
      </c>
      <c r="D47" s="20">
        <v>1.47E-2</v>
      </c>
      <c r="E47" s="20">
        <v>0.01</v>
      </c>
      <c r="F47" s="20">
        <f t="shared" si="2"/>
        <v>1.72E-2</v>
      </c>
      <c r="G47" s="23">
        <v>32073.153087604172</v>
      </c>
      <c r="H47" s="23">
        <v>1539511.3482050004</v>
      </c>
      <c r="I47" s="67">
        <f t="shared" si="3"/>
        <v>45657</v>
      </c>
      <c r="K47" s="9"/>
    </row>
    <row r="48" spans="1:11" x14ac:dyDescent="0.25">
      <c r="A48" s="25" t="s">
        <v>79</v>
      </c>
      <c r="B48" s="20" t="s">
        <v>9</v>
      </c>
      <c r="C48" s="20">
        <v>3.8E-3</v>
      </c>
      <c r="D48" s="20">
        <v>2.4E-2</v>
      </c>
      <c r="E48" s="20">
        <v>0.01</v>
      </c>
      <c r="F48" s="20">
        <f t="shared" si="2"/>
        <v>2.4E-2</v>
      </c>
      <c r="G48" s="23">
        <v>174959.28576</v>
      </c>
      <c r="H48" s="23">
        <v>1342310.44</v>
      </c>
      <c r="I48" s="67">
        <f t="shared" si="3"/>
        <v>44439</v>
      </c>
      <c r="K48" s="9"/>
    </row>
    <row r="49" spans="1:12" s="17" customFormat="1" x14ac:dyDescent="0.25">
      <c r="A49" s="25" t="s">
        <v>5</v>
      </c>
      <c r="B49" s="20" t="s">
        <v>9</v>
      </c>
      <c r="C49" s="20">
        <v>1.26E-2</v>
      </c>
      <c r="D49" s="20">
        <v>5.5999999999999999E-3</v>
      </c>
      <c r="E49" s="20">
        <v>0.01</v>
      </c>
      <c r="F49" s="20">
        <f t="shared" si="2"/>
        <v>1.26E-2</v>
      </c>
      <c r="G49" s="23">
        <v>65722.406262030607</v>
      </c>
      <c r="H49" s="23">
        <v>3154675.5005774694</v>
      </c>
      <c r="I49" s="67">
        <f t="shared" si="3"/>
        <v>45657</v>
      </c>
      <c r="J49" s="15"/>
      <c r="K49" s="15"/>
      <c r="L49" s="15"/>
    </row>
    <row r="50" spans="1:12" s="17" customFormat="1" x14ac:dyDescent="0.25">
      <c r="A50" s="25" t="s">
        <v>6</v>
      </c>
      <c r="B50" s="20" t="s">
        <v>9</v>
      </c>
      <c r="C50" s="20">
        <v>6.3500000000000001E-2</v>
      </c>
      <c r="D50" s="20">
        <v>1.6400000000000001E-2</v>
      </c>
      <c r="E50" s="20">
        <v>0.01</v>
      </c>
      <c r="F50" s="20">
        <f t="shared" si="2"/>
        <v>6.3500000000000001E-2</v>
      </c>
      <c r="G50" s="23">
        <v>114188.14101560868</v>
      </c>
      <c r="H50" s="23">
        <v>5481030.7687492175</v>
      </c>
      <c r="I50" s="67">
        <f t="shared" si="3"/>
        <v>45657</v>
      </c>
      <c r="K50" s="15"/>
    </row>
    <row r="51" spans="1:12" x14ac:dyDescent="0.25">
      <c r="A51" s="25" t="s">
        <v>80</v>
      </c>
      <c r="B51" s="20" t="s">
        <v>9</v>
      </c>
      <c r="C51" s="20">
        <v>5.1999999999999998E-3</v>
      </c>
      <c r="D51" s="20">
        <v>6.0000000000000001E-3</v>
      </c>
      <c r="E51" s="20">
        <v>0.01</v>
      </c>
      <c r="F51" s="20">
        <f t="shared" si="2"/>
        <v>0.01</v>
      </c>
      <c r="G51" s="23">
        <v>75646.776883333339</v>
      </c>
      <c r="H51" s="23">
        <v>1880661.59</v>
      </c>
      <c r="I51" s="67">
        <f t="shared" si="3"/>
        <v>44957</v>
      </c>
      <c r="K51" s="9"/>
    </row>
    <row r="52" spans="1:12" x14ac:dyDescent="0.25">
      <c r="A52" s="25" t="s">
        <v>81</v>
      </c>
      <c r="B52" s="20" t="s">
        <v>9</v>
      </c>
      <c r="C52" s="20">
        <v>2.8400000000000002E-2</v>
      </c>
      <c r="D52" s="20">
        <v>3.6900000000000002E-2</v>
      </c>
      <c r="E52" s="20">
        <v>0.01</v>
      </c>
      <c r="F52" s="20">
        <f t="shared" si="2"/>
        <v>3.6900000000000002E-2</v>
      </c>
      <c r="G52" s="23">
        <v>866527.14998624998</v>
      </c>
      <c r="H52" s="23">
        <v>32054695.150000002</v>
      </c>
      <c r="I52" s="67">
        <f t="shared" si="3"/>
        <v>45322</v>
      </c>
      <c r="K52" s="9"/>
    </row>
    <row r="53" spans="1:12" x14ac:dyDescent="0.25">
      <c r="A53" s="25" t="s">
        <v>82</v>
      </c>
      <c r="B53" s="20" t="s">
        <v>9</v>
      </c>
      <c r="C53" s="20">
        <v>1.1299999999999999E-2</v>
      </c>
      <c r="D53" s="20">
        <v>2.3E-2</v>
      </c>
      <c r="E53" s="20">
        <v>0.01</v>
      </c>
      <c r="F53" s="20">
        <f t="shared" si="2"/>
        <v>2.3E-2</v>
      </c>
      <c r="G53" s="23">
        <v>142609.42953999998</v>
      </c>
      <c r="H53" s="23">
        <v>3361933.3306066594</v>
      </c>
      <c r="I53" s="67">
        <f t="shared" si="3"/>
        <v>44926</v>
      </c>
      <c r="K53" s="9"/>
    </row>
    <row r="54" spans="1:12" s="45" customFormat="1" ht="17.25" x14ac:dyDescent="0.25">
      <c r="A54" s="43" t="s">
        <v>144</v>
      </c>
      <c r="B54" s="44"/>
      <c r="C54" s="43"/>
      <c r="D54" s="44"/>
      <c r="E54" s="44"/>
      <c r="G54" s="43"/>
      <c r="H54" s="44"/>
      <c r="I54" s="43"/>
    </row>
    <row r="55" spans="1:12" s="45" customFormat="1" ht="17.25" x14ac:dyDescent="0.25">
      <c r="A55" s="43" t="s">
        <v>140</v>
      </c>
      <c r="B55" s="44"/>
      <c r="C55" s="43"/>
      <c r="D55" s="44"/>
      <c r="E55" s="44"/>
      <c r="G55" s="43"/>
      <c r="H55" s="44"/>
      <c r="I55" s="43"/>
    </row>
    <row r="56" spans="1:12" s="45" customFormat="1" ht="17.25" x14ac:dyDescent="0.25">
      <c r="A56" s="43" t="s">
        <v>141</v>
      </c>
      <c r="B56" s="44"/>
      <c r="C56" s="43"/>
      <c r="D56" s="44"/>
      <c r="E56" s="44"/>
      <c r="G56" s="43"/>
      <c r="H56" s="44"/>
      <c r="I56" s="43"/>
    </row>
    <row r="57" spans="1:12" s="45" customFormat="1" ht="17.25" x14ac:dyDescent="0.25">
      <c r="A57" s="43" t="s">
        <v>142</v>
      </c>
      <c r="B57" s="44"/>
      <c r="C57" s="43"/>
      <c r="D57" s="44"/>
      <c r="E57" s="44"/>
      <c r="G57" s="43"/>
      <c r="H57" s="44"/>
      <c r="I57" s="43"/>
    </row>
    <row r="58" spans="1:12" s="45" customFormat="1" ht="17.25" x14ac:dyDescent="0.25">
      <c r="A58" s="43" t="s">
        <v>143</v>
      </c>
      <c r="B58" s="44"/>
      <c r="C58" s="43"/>
      <c r="D58" s="44"/>
      <c r="E58" s="44"/>
      <c r="G58" s="43"/>
      <c r="H58" s="44"/>
      <c r="I58" s="43"/>
    </row>
    <row r="59" spans="1:12" s="45" customFormat="1" ht="12" x14ac:dyDescent="0.2">
      <c r="A59" s="43"/>
      <c r="B59" s="44"/>
      <c r="C59" s="43"/>
      <c r="D59" s="44"/>
      <c r="E59" s="44"/>
      <c r="G59" s="43"/>
      <c r="H59" s="44"/>
      <c r="I59" s="43"/>
    </row>
    <row r="60" spans="1:12" s="10" customFormat="1" ht="15" x14ac:dyDescent="0.25">
      <c r="A60" s="26"/>
      <c r="B60" s="27"/>
      <c r="C60" s="26"/>
      <c r="D60" s="27"/>
      <c r="E60" s="27"/>
      <c r="I60" s="26"/>
    </row>
    <row r="61" spans="1:12" x14ac:dyDescent="0.25">
      <c r="A61" s="93" t="s">
        <v>145</v>
      </c>
      <c r="B61" s="94"/>
      <c r="C61" s="95"/>
      <c r="D61" s="27"/>
      <c r="E61" s="96" t="s">
        <v>86</v>
      </c>
      <c r="F61" s="96"/>
      <c r="G61" s="96"/>
      <c r="H61" s="96"/>
      <c r="I61" s="96"/>
    </row>
    <row r="62" spans="1:12" x14ac:dyDescent="0.25">
      <c r="A62" s="79" t="s">
        <v>118</v>
      </c>
      <c r="B62" s="28">
        <f>COUNTIF($F$5:$F$53,"&lt;=1%")</f>
        <v>20</v>
      </c>
      <c r="C62" s="33">
        <f>B62/B66</f>
        <v>0.40816326530612246</v>
      </c>
      <c r="D62" s="27"/>
      <c r="E62" s="80" t="s">
        <v>84</v>
      </c>
      <c r="F62" s="96" t="s">
        <v>85</v>
      </c>
      <c r="G62" s="96"/>
      <c r="H62" s="97" t="s">
        <v>117</v>
      </c>
      <c r="I62" s="97"/>
    </row>
    <row r="63" spans="1:12" x14ac:dyDescent="0.25">
      <c r="A63" s="79" t="s">
        <v>119</v>
      </c>
      <c r="B63" s="28">
        <f>COUNTIFS($F$5:$F$53,"&gt;1%",$F$5:$F$53,"&lt;=2%")</f>
        <v>18</v>
      </c>
      <c r="C63" s="33">
        <f>B63/B66</f>
        <v>0.36734693877551022</v>
      </c>
      <c r="E63" s="77">
        <v>2020</v>
      </c>
      <c r="F63" s="98">
        <f>COUNTIFS($I$5:$I$53,"&gt;=01/2020",$I$5:$I$53,"&lt;01/2021")</f>
        <v>3</v>
      </c>
      <c r="G63" s="98"/>
      <c r="H63" s="99">
        <f>F68-F63</f>
        <v>46</v>
      </c>
      <c r="I63" s="99"/>
    </row>
    <row r="64" spans="1:12" x14ac:dyDescent="0.25">
      <c r="A64" s="79" t="s">
        <v>120</v>
      </c>
      <c r="B64" s="28">
        <f>COUNTIFS($F$5:$F$53,"&gt;2%",$F$5:$F$53,"&lt;=3%")</f>
        <v>4</v>
      </c>
      <c r="C64" s="33">
        <f>B64/B66</f>
        <v>8.1632653061224483E-2</v>
      </c>
      <c r="E64" s="77">
        <v>2021</v>
      </c>
      <c r="F64" s="98">
        <f>COUNTIFS($I$5:$I$53,"&gt;=01/2021",$I$5:$I$53,"&lt;01/2022")</f>
        <v>13</v>
      </c>
      <c r="G64" s="98"/>
      <c r="H64" s="99">
        <f>H63-F64</f>
        <v>33</v>
      </c>
      <c r="I64" s="99"/>
    </row>
    <row r="65" spans="1:14" x14ac:dyDescent="0.25">
      <c r="A65" s="79" t="s">
        <v>121</v>
      </c>
      <c r="B65" s="28">
        <f>COUNTIF($F$5:$F$53,"&gt;=3%")</f>
        <v>7</v>
      </c>
      <c r="C65" s="33">
        <f>B65/B66</f>
        <v>0.14285714285714285</v>
      </c>
      <c r="E65" s="77">
        <v>2022</v>
      </c>
      <c r="F65" s="98">
        <f>COUNTIFS($I$5:$I$53,"&gt;=01/2022",$I$5:$I$53,"&lt;01/2023")</f>
        <v>5</v>
      </c>
      <c r="G65" s="98"/>
      <c r="H65" s="99">
        <f>H64-F65</f>
        <v>28</v>
      </c>
      <c r="I65" s="99"/>
    </row>
    <row r="66" spans="1:14" x14ac:dyDescent="0.25">
      <c r="A66" s="83" t="s">
        <v>87</v>
      </c>
      <c r="B66" s="41">
        <f>SUM(B62:B65)</f>
        <v>49</v>
      </c>
      <c r="C66" s="78">
        <f>SUM(C62:C65)</f>
        <v>1</v>
      </c>
      <c r="E66" s="77">
        <v>2023</v>
      </c>
      <c r="F66" s="98">
        <f>COUNTIFS($I$5:$I$53,"&gt;=01/2023",$I$5:$I$53,"&lt;01/2024")</f>
        <v>10</v>
      </c>
      <c r="G66" s="98"/>
      <c r="H66" s="99">
        <f>H65-F66</f>
        <v>18</v>
      </c>
      <c r="I66" s="99"/>
    </row>
    <row r="67" spans="1:14" x14ac:dyDescent="0.25">
      <c r="E67" s="77">
        <v>2024</v>
      </c>
      <c r="F67" s="98">
        <f>COUNTIFS($I$5:$I$53,"&gt;=01/2024",$I$5:$I$53,"&lt;01/2025")</f>
        <v>18</v>
      </c>
      <c r="G67" s="98"/>
      <c r="H67" s="99">
        <f>H66-F67</f>
        <v>0</v>
      </c>
      <c r="I67" s="99"/>
    </row>
    <row r="68" spans="1:14" x14ac:dyDescent="0.25">
      <c r="A68" s="6"/>
      <c r="B68" s="6"/>
      <c r="C68" s="6"/>
      <c r="E68" s="80" t="s">
        <v>87</v>
      </c>
      <c r="F68" s="98">
        <f>SUM(F63:F67)</f>
        <v>49</v>
      </c>
      <c r="G68" s="98"/>
      <c r="H68" s="99"/>
      <c r="I68" s="99"/>
    </row>
    <row r="69" spans="1:14" x14ac:dyDescent="0.25">
      <c r="A69" s="6"/>
      <c r="B69" s="6"/>
      <c r="C69" s="6"/>
    </row>
    <row r="70" spans="1:14" x14ac:dyDescent="0.25">
      <c r="A70" s="96" t="s">
        <v>111</v>
      </c>
      <c r="B70" s="96"/>
      <c r="C70" s="96"/>
      <c r="D70" s="96"/>
      <c r="E70" s="96"/>
    </row>
    <row r="71" spans="1:14" x14ac:dyDescent="0.25">
      <c r="A71" s="77" t="s">
        <v>114</v>
      </c>
      <c r="B71" s="100" t="s">
        <v>112</v>
      </c>
      <c r="C71" s="100"/>
      <c r="D71" s="98" t="s">
        <v>113</v>
      </c>
      <c r="E71" s="98"/>
    </row>
    <row r="72" spans="1:14" x14ac:dyDescent="0.25">
      <c r="A72" s="77" t="s">
        <v>115</v>
      </c>
      <c r="B72" s="101"/>
      <c r="C72" s="101"/>
      <c r="D72" s="102"/>
      <c r="E72" s="102"/>
    </row>
    <row r="73" spans="1:14" s="10" customFormat="1" x14ac:dyDescent="0.25">
      <c r="A73" s="80" t="s">
        <v>116</v>
      </c>
      <c r="B73" s="103" t="e">
        <f>B72/(B72+D72)</f>
        <v>#DIV/0!</v>
      </c>
      <c r="C73" s="103"/>
      <c r="D73" s="104" t="e">
        <f>D72/(B72+D72)</f>
        <v>#DIV/0!</v>
      </c>
      <c r="E73" s="104"/>
      <c r="H73" s="16"/>
      <c r="I73" s="6"/>
      <c r="J73" s="6"/>
      <c r="K73" s="6"/>
      <c r="L73" s="6"/>
      <c r="M73" s="6"/>
      <c r="N73" s="6"/>
    </row>
    <row r="75" spans="1:14" s="10" customFormat="1" x14ac:dyDescent="0.25">
      <c r="A75" s="6"/>
      <c r="B75" s="6"/>
      <c r="C75" s="6"/>
      <c r="D75" s="6"/>
      <c r="E75" s="6"/>
      <c r="H75" s="16"/>
      <c r="I75" s="6"/>
      <c r="J75" s="6"/>
      <c r="K75" s="6"/>
      <c r="L75" s="6"/>
      <c r="M75" s="6"/>
      <c r="N75" s="6"/>
    </row>
    <row r="76" spans="1:14" s="10" customFormat="1" x14ac:dyDescent="0.25">
      <c r="A76" s="6"/>
      <c r="B76" s="6"/>
      <c r="C76" s="6"/>
      <c r="D76" s="6"/>
      <c r="E76" s="6"/>
      <c r="H76" s="16"/>
      <c r="I76" s="6"/>
      <c r="J76" s="6"/>
      <c r="K76" s="6"/>
      <c r="L76" s="6"/>
      <c r="M76" s="6"/>
      <c r="N76" s="6"/>
    </row>
  </sheetData>
  <mergeCells count="30">
    <mergeCell ref="B72:C72"/>
    <mergeCell ref="D72:E72"/>
    <mergeCell ref="B73:C73"/>
    <mergeCell ref="D73:E73"/>
    <mergeCell ref="F67:G67"/>
    <mergeCell ref="H67:I67"/>
    <mergeCell ref="F68:G68"/>
    <mergeCell ref="H68:I68"/>
    <mergeCell ref="A70:E70"/>
    <mergeCell ref="B71:C71"/>
    <mergeCell ref="D71:E71"/>
    <mergeCell ref="F64:G64"/>
    <mergeCell ref="H64:I64"/>
    <mergeCell ref="F65:G65"/>
    <mergeCell ref="H65:I65"/>
    <mergeCell ref="F66:G66"/>
    <mergeCell ref="H66:I66"/>
    <mergeCell ref="A61:C61"/>
    <mergeCell ref="E61:I61"/>
    <mergeCell ref="F62:G62"/>
    <mergeCell ref="H62:I62"/>
    <mergeCell ref="F63:G63"/>
    <mergeCell ref="H63:I63"/>
    <mergeCell ref="A1:I1"/>
    <mergeCell ref="A3:A4"/>
    <mergeCell ref="B3:B4"/>
    <mergeCell ref="C3:F3"/>
    <mergeCell ref="G3:G4"/>
    <mergeCell ref="H3:H4"/>
    <mergeCell ref="I3:I4"/>
  </mergeCells>
  <conditionalFormatting sqref="J8 A32:I43 A45:I53 A21:I30 A18:A20 C18:I20 A5:I17">
    <cfRule type="expression" dxfId="79" priority="16">
      <formula>#REF!="Revisar"</formula>
    </cfRule>
    <cfRule type="expression" dxfId="78" priority="17">
      <formula>#REF!="OK"</formula>
    </cfRule>
    <cfRule type="expression" dxfId="77" priority="18">
      <formula>#REF!="Atualizar"</formula>
    </cfRule>
  </conditionalFormatting>
  <conditionalFormatting sqref="B18:B19">
    <cfRule type="expression" dxfId="76" priority="4">
      <formula>#REF!="Revisar"</formula>
    </cfRule>
    <cfRule type="expression" dxfId="75" priority="5">
      <formula>#REF!="OK"</formula>
    </cfRule>
    <cfRule type="expression" dxfId="74" priority="6">
      <formula>#REF!="Atualizar"</formula>
    </cfRule>
  </conditionalFormatting>
  <conditionalFormatting sqref="B20">
    <cfRule type="expression" dxfId="73" priority="1">
      <formula>#REF!="Revisar"</formula>
    </cfRule>
    <cfRule type="expression" dxfId="72" priority="2">
      <formula>#REF!="OK"</formula>
    </cfRule>
    <cfRule type="expression" dxfId="71" priority="3">
      <formula>#REF!="Atualizar"</formula>
    </cfRule>
  </conditionalFormatting>
  <printOptions horizontalCentered="1"/>
  <pageMargins left="0.39370078740157483" right="0.39370078740157483" top="0.39370078740157483" bottom="0.39370078740157483" header="0" footer="0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45DC32C-CFD5-4D61-939F-1F1920806C36}">
            <xm:f>'Lista 2020'!#REF!="Revisar"</xm:f>
            <x14:dxf>
              <font>
                <color auto="1"/>
              </font>
              <fill>
                <patternFill>
                  <bgColor rgb="FFFFC7CE"/>
                </patternFill>
              </fill>
            </x14:dxf>
          </x14:cfRule>
          <x14:cfRule type="expression" priority="11" id="{F278C4A5-6DC1-4EA1-B301-45F46B765622}">
            <xm:f>'Lista 2020'!#REF!="OK"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12" id="{76131156-A09E-41A1-98E9-9306DCD8CEF5}">
            <xm:f>'Lista 2020'!#REF!="Atualizar"</xm:f>
            <x14:dxf>
              <font>
                <color rgb="FF0070C0"/>
              </font>
              <fill>
                <patternFill patternType="none">
                  <bgColor auto="1"/>
                </patternFill>
              </fill>
            </x14:dxf>
          </x14:cfRule>
          <xm:sqref>A31:I31</xm:sqref>
        </x14:conditionalFormatting>
        <x14:conditionalFormatting xmlns:xm="http://schemas.microsoft.com/office/excel/2006/main">
          <x14:cfRule type="expression" priority="7" id="{D0AD223A-FBAB-49AF-B376-D40C29FEC62C}">
            <xm:f>'Lista 2020'!#REF!="Revisar"</xm:f>
            <x14:dxf>
              <font>
                <color auto="1"/>
              </font>
              <fill>
                <patternFill>
                  <bgColor rgb="FFFFC7CE"/>
                </patternFill>
              </fill>
            </x14:dxf>
          </x14:cfRule>
          <x14:cfRule type="expression" priority="8" id="{AD57F2C3-42C7-4C36-BC7F-5BEBDF770A04}">
            <xm:f>'Lista 2020'!#REF!="OK"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9" id="{3383BEAB-333E-4693-AC6B-221FB22AE5DE}">
            <xm:f>'Lista 2020'!#REF!="Atualizar"</xm:f>
            <x14:dxf>
              <font>
                <color rgb="FF0070C0"/>
              </font>
              <fill>
                <patternFill patternType="none">
                  <bgColor auto="1"/>
                </patternFill>
              </fill>
            </x14:dxf>
          </x14:cfRule>
          <xm:sqref>A44:I44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workbookViewId="0">
      <pane ySplit="2" topLeftCell="A3" activePane="bottomLeft" state="frozen"/>
      <selection pane="bottomLeft" activeCell="B55" sqref="B55"/>
    </sheetView>
  </sheetViews>
  <sheetFormatPr defaultRowHeight="15.75" x14ac:dyDescent="0.25"/>
  <cols>
    <col min="1" max="1" width="3.85546875" style="68" customWidth="1"/>
    <col min="2" max="2" width="30" style="75" customWidth="1"/>
    <col min="3" max="3" width="23.42578125" style="76" customWidth="1"/>
    <col min="4" max="4" width="19.85546875" style="76" customWidth="1"/>
    <col min="5" max="5" width="30.7109375" style="75" customWidth="1"/>
    <col min="6" max="6" width="28.85546875" style="76" customWidth="1"/>
    <col min="7" max="7" width="7.7109375" style="68" customWidth="1"/>
    <col min="8" max="8" width="1" style="6" customWidth="1"/>
    <col min="9" max="9" width="9.140625" style="6" customWidth="1"/>
    <col min="10" max="16384" width="9.140625" style="6"/>
  </cols>
  <sheetData>
    <row r="1" spans="1:7" ht="24.95" customHeight="1" x14ac:dyDescent="0.25">
      <c r="A1" s="105" t="s">
        <v>148</v>
      </c>
      <c r="B1" s="105"/>
      <c r="C1" s="105"/>
      <c r="D1" s="105"/>
      <c r="E1" s="105"/>
      <c r="F1" s="105"/>
    </row>
    <row r="2" spans="1:7" ht="33" thickBot="1" x14ac:dyDescent="0.3">
      <c r="A2" s="47"/>
      <c r="B2" s="48" t="s">
        <v>11</v>
      </c>
      <c r="C2" s="48" t="s">
        <v>101</v>
      </c>
      <c r="D2" s="48" t="s">
        <v>132</v>
      </c>
      <c r="E2" s="48" t="s">
        <v>146</v>
      </c>
      <c r="F2" s="48" t="s">
        <v>147</v>
      </c>
    </row>
    <row r="3" spans="1:7" ht="16.5" thickTop="1" x14ac:dyDescent="0.25">
      <c r="A3" s="49">
        <v>1</v>
      </c>
      <c r="B3" s="50" t="s">
        <v>35</v>
      </c>
      <c r="C3" s="51" t="s">
        <v>9</v>
      </c>
      <c r="D3" s="51">
        <v>1.2200000000000001E-2</v>
      </c>
      <c r="E3" s="52">
        <v>66405.503566145824</v>
      </c>
      <c r="F3" s="53">
        <v>45657</v>
      </c>
      <c r="G3" s="70"/>
    </row>
    <row r="4" spans="1:7" ht="16.5" customHeight="1" x14ac:dyDescent="0.25">
      <c r="A4" s="54">
        <v>2</v>
      </c>
      <c r="B4" s="50" t="s">
        <v>150</v>
      </c>
      <c r="C4" s="51" t="s">
        <v>9</v>
      </c>
      <c r="D4" s="51">
        <v>3.7600000000000001E-2</v>
      </c>
      <c r="E4" s="52">
        <v>468174.04770833324</v>
      </c>
      <c r="F4" s="53">
        <v>45657</v>
      </c>
    </row>
    <row r="5" spans="1:7" s="18" customFormat="1" x14ac:dyDescent="0.25">
      <c r="A5" s="49">
        <v>3</v>
      </c>
      <c r="B5" s="50" t="s">
        <v>126</v>
      </c>
      <c r="C5" s="51" t="s">
        <v>9</v>
      </c>
      <c r="D5" s="51">
        <v>0.01</v>
      </c>
      <c r="E5" s="52">
        <v>30103.477699999999</v>
      </c>
      <c r="F5" s="53">
        <v>44620</v>
      </c>
      <c r="G5" s="88"/>
    </row>
    <row r="6" spans="1:7" x14ac:dyDescent="0.25">
      <c r="A6" s="54">
        <v>4</v>
      </c>
      <c r="B6" s="50" t="s">
        <v>39</v>
      </c>
      <c r="C6" s="51" t="s">
        <v>9</v>
      </c>
      <c r="D6" s="51">
        <v>0.01</v>
      </c>
      <c r="E6" s="52">
        <v>38289.738291666668</v>
      </c>
      <c r="F6" s="53">
        <v>44804</v>
      </c>
      <c r="G6" s="46"/>
    </row>
    <row r="7" spans="1:7" x14ac:dyDescent="0.25">
      <c r="A7" s="49">
        <v>5</v>
      </c>
      <c r="B7" s="50" t="s">
        <v>40</v>
      </c>
      <c r="C7" s="51" t="s">
        <v>9</v>
      </c>
      <c r="D7" s="51">
        <v>0.01</v>
      </c>
      <c r="E7" s="52">
        <v>33172.985316666665</v>
      </c>
      <c r="F7" s="53">
        <v>44469</v>
      </c>
    </row>
    <row r="8" spans="1:7" x14ac:dyDescent="0.25">
      <c r="A8" s="54">
        <v>6</v>
      </c>
      <c r="B8" s="50" t="s">
        <v>41</v>
      </c>
      <c r="C8" s="51" t="s">
        <v>124</v>
      </c>
      <c r="D8" s="51">
        <v>0.01</v>
      </c>
      <c r="E8" s="52">
        <v>104365.62854999999</v>
      </c>
      <c r="F8" s="53">
        <v>44347</v>
      </c>
    </row>
    <row r="9" spans="1:7" x14ac:dyDescent="0.25">
      <c r="A9" s="49">
        <v>7</v>
      </c>
      <c r="B9" s="50" t="s">
        <v>42</v>
      </c>
      <c r="C9" s="51" t="s">
        <v>9</v>
      </c>
      <c r="D9" s="51">
        <v>0.01</v>
      </c>
      <c r="E9" s="52">
        <v>176298.99209166665</v>
      </c>
      <c r="F9" s="53">
        <v>45077</v>
      </c>
    </row>
    <row r="10" spans="1:7" x14ac:dyDescent="0.25">
      <c r="A10" s="54">
        <v>8</v>
      </c>
      <c r="B10" s="50" t="s">
        <v>43</v>
      </c>
      <c r="C10" s="51" t="s">
        <v>127</v>
      </c>
      <c r="D10" s="51">
        <v>1.35E-2</v>
      </c>
      <c r="E10" s="52">
        <v>498227.44101562485</v>
      </c>
      <c r="F10" s="53">
        <v>45657</v>
      </c>
    </row>
    <row r="11" spans="1:7" x14ac:dyDescent="0.25">
      <c r="A11" s="49">
        <v>9</v>
      </c>
      <c r="B11" s="50" t="s">
        <v>44</v>
      </c>
      <c r="C11" s="51" t="s">
        <v>124</v>
      </c>
      <c r="D11" s="51">
        <v>0.01</v>
      </c>
      <c r="E11" s="52">
        <v>170579.03738333334</v>
      </c>
      <c r="F11" s="53">
        <v>45016</v>
      </c>
    </row>
    <row r="12" spans="1:7" x14ac:dyDescent="0.25">
      <c r="A12" s="54">
        <v>10</v>
      </c>
      <c r="B12" s="50" t="s">
        <v>45</v>
      </c>
      <c r="C12" s="51" t="s">
        <v>9</v>
      </c>
      <c r="D12" s="51">
        <v>2.0210698856246136E-2</v>
      </c>
      <c r="E12" s="52">
        <v>54609.244387999999</v>
      </c>
      <c r="F12" s="53">
        <v>44561</v>
      </c>
    </row>
    <row r="13" spans="1:7" x14ac:dyDescent="0.25">
      <c r="A13" s="49">
        <v>11</v>
      </c>
      <c r="B13" s="50" t="s">
        <v>0</v>
      </c>
      <c r="C13" s="51" t="s">
        <v>9</v>
      </c>
      <c r="D13" s="51">
        <v>0.01</v>
      </c>
      <c r="E13" s="52">
        <v>128799.24143333331</v>
      </c>
      <c r="F13" s="53">
        <v>44530</v>
      </c>
    </row>
    <row r="14" spans="1:7" s="17" customFormat="1" x14ac:dyDescent="0.25">
      <c r="A14" s="54">
        <v>12</v>
      </c>
      <c r="B14" s="50" t="s">
        <v>1</v>
      </c>
      <c r="C14" s="51" t="s">
        <v>9</v>
      </c>
      <c r="D14" s="51">
        <v>0.01</v>
      </c>
      <c r="E14" s="52">
        <v>65782.584858333328</v>
      </c>
      <c r="F14" s="53">
        <v>44316</v>
      </c>
      <c r="G14" s="69"/>
    </row>
    <row r="15" spans="1:7" s="17" customFormat="1" x14ac:dyDescent="0.25">
      <c r="A15" s="49">
        <v>13</v>
      </c>
      <c r="B15" s="50" t="s">
        <v>48</v>
      </c>
      <c r="C15" s="51" t="s">
        <v>9</v>
      </c>
      <c r="D15" s="51">
        <v>3.3599999999999998E-2</v>
      </c>
      <c r="E15" s="52">
        <v>138440.37458404715</v>
      </c>
      <c r="F15" s="53">
        <v>45657</v>
      </c>
      <c r="G15" s="69"/>
    </row>
    <row r="16" spans="1:7" ht="17.25" x14ac:dyDescent="0.25">
      <c r="A16" s="55">
        <v>14</v>
      </c>
      <c r="B16" s="56" t="s">
        <v>153</v>
      </c>
      <c r="C16" s="57" t="s">
        <v>127</v>
      </c>
      <c r="D16" s="57">
        <v>2.1100000000000001E-2</v>
      </c>
      <c r="E16" s="58">
        <v>1303395.1889490762</v>
      </c>
      <c r="F16" s="59">
        <v>45657</v>
      </c>
    </row>
    <row r="17" spans="1:7" x14ac:dyDescent="0.25">
      <c r="A17" s="49">
        <v>15</v>
      </c>
      <c r="B17" s="50" t="s">
        <v>2</v>
      </c>
      <c r="C17" s="51" t="s">
        <v>9</v>
      </c>
      <c r="D17" s="51">
        <v>1.17E-2</v>
      </c>
      <c r="E17" s="52">
        <v>43802.656745250002</v>
      </c>
      <c r="F17" s="53">
        <v>44439</v>
      </c>
    </row>
    <row r="18" spans="1:7" x14ac:dyDescent="0.25">
      <c r="A18" s="54">
        <v>16</v>
      </c>
      <c r="B18" s="50" t="s">
        <v>49</v>
      </c>
      <c r="C18" s="51" t="s">
        <v>9</v>
      </c>
      <c r="D18" s="51">
        <v>1.29E-2</v>
      </c>
      <c r="E18" s="52">
        <v>22230.330361000004</v>
      </c>
      <c r="F18" s="53">
        <v>45412</v>
      </c>
    </row>
    <row r="19" spans="1:7" ht="17.25" x14ac:dyDescent="0.25">
      <c r="A19" s="49">
        <v>17</v>
      </c>
      <c r="B19" s="50" t="s">
        <v>149</v>
      </c>
      <c r="C19" s="51" t="s">
        <v>127</v>
      </c>
      <c r="D19" s="51">
        <v>1.7899999999999999E-2</v>
      </c>
      <c r="E19" s="52">
        <v>37865584.362291664</v>
      </c>
      <c r="F19" s="53">
        <v>45657</v>
      </c>
    </row>
    <row r="20" spans="1:7" s="17" customFormat="1" x14ac:dyDescent="0.25">
      <c r="A20" s="54">
        <v>18</v>
      </c>
      <c r="B20" s="50" t="s">
        <v>50</v>
      </c>
      <c r="C20" s="51" t="s">
        <v>9</v>
      </c>
      <c r="D20" s="51">
        <v>1.4500000000000001E-2</v>
      </c>
      <c r="E20" s="52">
        <v>2212724.9083295832</v>
      </c>
      <c r="F20" s="53">
        <v>45291</v>
      </c>
      <c r="G20" s="69"/>
    </row>
    <row r="21" spans="1:7" x14ac:dyDescent="0.25">
      <c r="A21" s="49">
        <v>19</v>
      </c>
      <c r="B21" s="50" t="s">
        <v>51</v>
      </c>
      <c r="C21" s="51" t="s">
        <v>9</v>
      </c>
      <c r="D21" s="51">
        <v>1.4500000000000001E-2</v>
      </c>
      <c r="E21" s="52">
        <v>37875.638848090282</v>
      </c>
      <c r="F21" s="53">
        <v>45657</v>
      </c>
    </row>
    <row r="22" spans="1:7" x14ac:dyDescent="0.25">
      <c r="A22" s="54">
        <v>20</v>
      </c>
      <c r="B22" s="50" t="s">
        <v>52</v>
      </c>
      <c r="C22" s="51" t="s">
        <v>9</v>
      </c>
      <c r="D22" s="51">
        <v>0.01</v>
      </c>
      <c r="E22" s="52">
        <v>151107.29815000005</v>
      </c>
      <c r="F22" s="53">
        <v>44957</v>
      </c>
    </row>
    <row r="23" spans="1:7" x14ac:dyDescent="0.25">
      <c r="A23" s="49">
        <v>21</v>
      </c>
      <c r="B23" s="50" t="s">
        <v>54</v>
      </c>
      <c r="C23" s="51" t="s">
        <v>9</v>
      </c>
      <c r="D23" s="51">
        <v>1.66E-2</v>
      </c>
      <c r="E23" s="52">
        <v>228034.61845833337</v>
      </c>
      <c r="F23" s="53">
        <v>45230</v>
      </c>
    </row>
    <row r="24" spans="1:7" x14ac:dyDescent="0.25">
      <c r="A24" s="54">
        <v>22</v>
      </c>
      <c r="B24" s="50" t="s">
        <v>56</v>
      </c>
      <c r="C24" s="51" t="s">
        <v>9</v>
      </c>
      <c r="D24" s="51">
        <v>1.0999999999999999E-2</v>
      </c>
      <c r="E24" s="52">
        <v>65132.609987499993</v>
      </c>
      <c r="F24" s="53">
        <v>44957</v>
      </c>
    </row>
    <row r="25" spans="1:7" x14ac:dyDescent="0.25">
      <c r="A25" s="49">
        <v>23</v>
      </c>
      <c r="B25" s="50" t="s">
        <v>57</v>
      </c>
      <c r="C25" s="51" t="s">
        <v>9</v>
      </c>
      <c r="D25" s="51">
        <v>1.2800000000000001E-2</v>
      </c>
      <c r="E25" s="52">
        <v>36151.531050666665</v>
      </c>
      <c r="F25" s="53">
        <v>44651</v>
      </c>
    </row>
    <row r="26" spans="1:7" x14ac:dyDescent="0.25">
      <c r="A26" s="54">
        <v>24</v>
      </c>
      <c r="B26" s="50" t="s">
        <v>58</v>
      </c>
      <c r="C26" s="51" t="s">
        <v>9</v>
      </c>
      <c r="D26" s="51">
        <v>3.3099999999999997E-2</v>
      </c>
      <c r="E26" s="52">
        <v>184677.85729166667</v>
      </c>
      <c r="F26" s="53">
        <v>45657</v>
      </c>
    </row>
    <row r="27" spans="1:7" x14ac:dyDescent="0.25">
      <c r="A27" s="49">
        <v>25</v>
      </c>
      <c r="B27" s="50" t="s">
        <v>59</v>
      </c>
      <c r="C27" s="51" t="s">
        <v>9</v>
      </c>
      <c r="D27" s="51">
        <v>1.2800000000000001E-2</v>
      </c>
      <c r="E27" s="52">
        <v>623380.89212800004</v>
      </c>
      <c r="F27" s="53">
        <v>44377</v>
      </c>
    </row>
    <row r="28" spans="1:7" x14ac:dyDescent="0.25">
      <c r="A28" s="54">
        <v>26</v>
      </c>
      <c r="B28" s="50" t="s">
        <v>60</v>
      </c>
      <c r="C28" s="51" t="s">
        <v>9</v>
      </c>
      <c r="D28" s="51">
        <v>3.4799999999999998E-2</v>
      </c>
      <c r="E28" s="52">
        <v>145449.59851299998</v>
      </c>
      <c r="F28" s="53">
        <v>44985</v>
      </c>
    </row>
    <row r="29" spans="1:7" x14ac:dyDescent="0.25">
      <c r="A29" s="49">
        <v>27</v>
      </c>
      <c r="B29" s="50" t="s">
        <v>61</v>
      </c>
      <c r="C29" s="51" t="s">
        <v>9</v>
      </c>
      <c r="D29" s="51">
        <v>0.01</v>
      </c>
      <c r="E29" s="52">
        <v>28639.381616666673</v>
      </c>
      <c r="F29" s="53">
        <v>44197</v>
      </c>
    </row>
    <row r="30" spans="1:7" x14ac:dyDescent="0.25">
      <c r="A30" s="54">
        <v>28</v>
      </c>
      <c r="B30" s="50" t="s">
        <v>62</v>
      </c>
      <c r="C30" s="51" t="s">
        <v>9</v>
      </c>
      <c r="D30" s="51">
        <v>0.01</v>
      </c>
      <c r="E30" s="52">
        <v>23150.424233333335</v>
      </c>
      <c r="F30" s="53">
        <v>44957</v>
      </c>
    </row>
    <row r="31" spans="1:7" x14ac:dyDescent="0.25">
      <c r="A31" s="49">
        <v>29</v>
      </c>
      <c r="B31" s="50" t="s">
        <v>63</v>
      </c>
      <c r="C31" s="51" t="s">
        <v>9</v>
      </c>
      <c r="D31" s="51">
        <v>0.01</v>
      </c>
      <c r="E31" s="52">
        <v>70206.22751666668</v>
      </c>
      <c r="F31" s="53">
        <v>45412</v>
      </c>
    </row>
    <row r="32" spans="1:7" x14ac:dyDescent="0.25">
      <c r="A32" s="54">
        <v>30</v>
      </c>
      <c r="B32" s="50" t="s">
        <v>64</v>
      </c>
      <c r="C32" s="51" t="s">
        <v>9</v>
      </c>
      <c r="D32" s="51">
        <v>0.01</v>
      </c>
      <c r="E32" s="52">
        <v>25968.020100000002</v>
      </c>
      <c r="F32" s="53">
        <v>44500</v>
      </c>
    </row>
    <row r="33" spans="1:7" x14ac:dyDescent="0.25">
      <c r="A33" s="49">
        <v>31</v>
      </c>
      <c r="B33" s="50" t="s">
        <v>65</v>
      </c>
      <c r="C33" s="51" t="s">
        <v>127</v>
      </c>
      <c r="D33" s="51">
        <v>1.35E-2</v>
      </c>
      <c r="E33" s="52">
        <v>71120.41714125</v>
      </c>
      <c r="F33" s="53">
        <v>44561</v>
      </c>
    </row>
    <row r="34" spans="1:7" x14ac:dyDescent="0.25">
      <c r="A34" s="54">
        <v>32</v>
      </c>
      <c r="B34" s="50" t="s">
        <v>66</v>
      </c>
      <c r="C34" s="51" t="s">
        <v>9</v>
      </c>
      <c r="D34" s="51">
        <v>0.01</v>
      </c>
      <c r="E34" s="52">
        <v>65121.730491666676</v>
      </c>
      <c r="F34" s="53">
        <v>44651</v>
      </c>
    </row>
    <row r="35" spans="1:7" x14ac:dyDescent="0.25">
      <c r="A35" s="49">
        <v>33</v>
      </c>
      <c r="B35" s="50" t="s">
        <v>67</v>
      </c>
      <c r="C35" s="51" t="s">
        <v>9</v>
      </c>
      <c r="D35" s="51">
        <v>1.8200000000000001E-2</v>
      </c>
      <c r="E35" s="52">
        <v>102590.87022566657</v>
      </c>
      <c r="F35" s="53">
        <v>45657</v>
      </c>
    </row>
    <row r="36" spans="1:7" x14ac:dyDescent="0.25">
      <c r="A36" s="54">
        <v>34</v>
      </c>
      <c r="B36" s="50" t="s">
        <v>24</v>
      </c>
      <c r="C36" s="51" t="s">
        <v>9</v>
      </c>
      <c r="D36" s="51">
        <v>1.2500000000000001E-2</v>
      </c>
      <c r="E36" s="52">
        <v>18882.562449999132</v>
      </c>
      <c r="F36" s="53">
        <v>44197</v>
      </c>
    </row>
    <row r="37" spans="1:7" x14ac:dyDescent="0.25">
      <c r="A37" s="49">
        <v>35</v>
      </c>
      <c r="B37" s="50" t="s">
        <v>69</v>
      </c>
      <c r="C37" s="51" t="s">
        <v>127</v>
      </c>
      <c r="D37" s="51">
        <v>0.01</v>
      </c>
      <c r="E37" s="52">
        <v>60472.296950000004</v>
      </c>
      <c r="F37" s="53">
        <v>44561</v>
      </c>
    </row>
    <row r="38" spans="1:7" x14ac:dyDescent="0.25">
      <c r="A38" s="54">
        <v>36</v>
      </c>
      <c r="B38" s="50" t="s">
        <v>70</v>
      </c>
      <c r="C38" s="51" t="s">
        <v>9</v>
      </c>
      <c r="D38" s="51">
        <v>0.02</v>
      </c>
      <c r="E38" s="52">
        <v>56903.723562958497</v>
      </c>
      <c r="F38" s="53">
        <v>45657</v>
      </c>
    </row>
    <row r="39" spans="1:7" x14ac:dyDescent="0.25">
      <c r="A39" s="49">
        <v>37</v>
      </c>
      <c r="B39" s="50" t="s">
        <v>3</v>
      </c>
      <c r="C39" s="51" t="s">
        <v>9</v>
      </c>
      <c r="D39" s="51">
        <v>0.01</v>
      </c>
      <c r="E39" s="52">
        <v>21505.532141666663</v>
      </c>
      <c r="F39" s="53">
        <v>45351</v>
      </c>
    </row>
    <row r="40" spans="1:7" x14ac:dyDescent="0.25">
      <c r="A40" s="54">
        <v>38</v>
      </c>
      <c r="B40" s="50" t="s">
        <v>71</v>
      </c>
      <c r="C40" s="51" t="s">
        <v>9</v>
      </c>
      <c r="D40" s="51">
        <v>3.1600000000000003E-2</v>
      </c>
      <c r="E40" s="52">
        <v>49019.181261333331</v>
      </c>
      <c r="F40" s="53">
        <v>44316</v>
      </c>
    </row>
    <row r="41" spans="1:7" s="17" customFormat="1" x14ac:dyDescent="0.25">
      <c r="A41" s="49">
        <v>39</v>
      </c>
      <c r="B41" s="50" t="s">
        <v>73</v>
      </c>
      <c r="C41" s="51" t="s">
        <v>9</v>
      </c>
      <c r="D41" s="51">
        <v>0.01</v>
      </c>
      <c r="E41" s="52">
        <v>22431.743116666665</v>
      </c>
      <c r="F41" s="53">
        <v>44957</v>
      </c>
      <c r="G41" s="69"/>
    </row>
    <row r="42" spans="1:7" x14ac:dyDescent="0.25">
      <c r="A42" s="54">
        <v>40</v>
      </c>
      <c r="B42" s="50" t="s">
        <v>8</v>
      </c>
      <c r="C42" s="51" t="s">
        <v>9</v>
      </c>
      <c r="D42" s="51">
        <v>1.06E-2</v>
      </c>
      <c r="E42" s="52">
        <v>239522.3929755</v>
      </c>
      <c r="F42" s="53">
        <v>44227</v>
      </c>
    </row>
    <row r="43" spans="1:7" s="17" customFormat="1" x14ac:dyDescent="0.25">
      <c r="A43" s="49">
        <v>41</v>
      </c>
      <c r="B43" s="50" t="s">
        <v>77</v>
      </c>
      <c r="C43" s="51" t="s">
        <v>9</v>
      </c>
      <c r="D43" s="51">
        <v>0.01</v>
      </c>
      <c r="E43" s="52">
        <v>575446.74528333335</v>
      </c>
      <c r="F43" s="53">
        <v>45565</v>
      </c>
      <c r="G43" s="69"/>
    </row>
    <row r="44" spans="1:7" x14ac:dyDescent="0.25">
      <c r="A44" s="54">
        <v>42</v>
      </c>
      <c r="B44" s="50" t="s">
        <v>78</v>
      </c>
      <c r="C44" s="51" t="s">
        <v>9</v>
      </c>
      <c r="D44" s="51">
        <v>1.72E-2</v>
      </c>
      <c r="E44" s="52">
        <v>32073.153087604172</v>
      </c>
      <c r="F44" s="53">
        <v>45657</v>
      </c>
    </row>
    <row r="45" spans="1:7" x14ac:dyDescent="0.25">
      <c r="A45" s="49">
        <v>43</v>
      </c>
      <c r="B45" s="50" t="s">
        <v>79</v>
      </c>
      <c r="C45" s="51" t="s">
        <v>9</v>
      </c>
      <c r="D45" s="51">
        <v>2.4E-2</v>
      </c>
      <c r="E45" s="52">
        <v>174959.28576</v>
      </c>
      <c r="F45" s="53">
        <v>44439</v>
      </c>
    </row>
    <row r="46" spans="1:7" x14ac:dyDescent="0.25">
      <c r="A46" s="54">
        <v>44</v>
      </c>
      <c r="B46" s="50" t="s">
        <v>5</v>
      </c>
      <c r="C46" s="51" t="s">
        <v>9</v>
      </c>
      <c r="D46" s="51">
        <v>1.26E-2</v>
      </c>
      <c r="E46" s="52">
        <v>65722.406262030607</v>
      </c>
      <c r="F46" s="53">
        <v>45657</v>
      </c>
    </row>
    <row r="47" spans="1:7" x14ac:dyDescent="0.25">
      <c r="A47" s="49">
        <v>45</v>
      </c>
      <c r="B47" s="50" t="s">
        <v>6</v>
      </c>
      <c r="C47" s="51" t="s">
        <v>9</v>
      </c>
      <c r="D47" s="51">
        <v>6.3500000000000001E-2</v>
      </c>
      <c r="E47" s="52">
        <v>114188.14101560868</v>
      </c>
      <c r="F47" s="53">
        <v>45657</v>
      </c>
    </row>
    <row r="48" spans="1:7" s="17" customFormat="1" x14ac:dyDescent="0.25">
      <c r="A48" s="54">
        <v>46</v>
      </c>
      <c r="B48" s="50" t="s">
        <v>80</v>
      </c>
      <c r="C48" s="51" t="s">
        <v>9</v>
      </c>
      <c r="D48" s="51">
        <v>0.01</v>
      </c>
      <c r="E48" s="52">
        <v>75646.776883333339</v>
      </c>
      <c r="F48" s="53">
        <v>44957</v>
      </c>
      <c r="G48" s="69"/>
    </row>
    <row r="49" spans="1:9" x14ac:dyDescent="0.25">
      <c r="A49" s="49">
        <v>47</v>
      </c>
      <c r="B49" s="50" t="s">
        <v>81</v>
      </c>
      <c r="C49" s="51" t="s">
        <v>9</v>
      </c>
      <c r="D49" s="51">
        <v>3.6900000000000002E-2</v>
      </c>
      <c r="E49" s="52">
        <v>866527.14998624998</v>
      </c>
      <c r="F49" s="53">
        <v>45322</v>
      </c>
    </row>
    <row r="50" spans="1:9" x14ac:dyDescent="0.25">
      <c r="A50" s="54">
        <v>48</v>
      </c>
      <c r="B50" s="50" t="s">
        <v>82</v>
      </c>
      <c r="C50" s="51" t="s">
        <v>9</v>
      </c>
      <c r="D50" s="51">
        <v>2.3E-2</v>
      </c>
      <c r="E50" s="52">
        <v>142609.42953999998</v>
      </c>
      <c r="F50" s="53">
        <v>44926</v>
      </c>
    </row>
    <row r="51" spans="1:9" s="45" customFormat="1" ht="17.25" x14ac:dyDescent="0.25">
      <c r="A51" s="43" t="s">
        <v>144</v>
      </c>
      <c r="B51" s="44"/>
      <c r="C51" s="43"/>
      <c r="D51" s="44"/>
      <c r="E51" s="44"/>
      <c r="G51" s="43"/>
      <c r="H51" s="44"/>
      <c r="I51" s="43"/>
    </row>
    <row r="52" spans="1:9" s="45" customFormat="1" ht="17.25" x14ac:dyDescent="0.25">
      <c r="A52" s="43" t="s">
        <v>140</v>
      </c>
      <c r="B52" s="44"/>
      <c r="C52" s="43"/>
      <c r="D52" s="44"/>
      <c r="E52" s="44"/>
      <c r="G52" s="43"/>
      <c r="H52" s="44"/>
      <c r="I52" s="43"/>
    </row>
    <row r="53" spans="1:9" s="45" customFormat="1" ht="17.25" x14ac:dyDescent="0.25">
      <c r="A53" s="43" t="s">
        <v>154</v>
      </c>
      <c r="B53" s="44"/>
      <c r="C53" s="43"/>
      <c r="D53" s="44"/>
      <c r="E53" s="44"/>
      <c r="G53" s="43"/>
      <c r="H53" s="44"/>
      <c r="I53" s="43"/>
    </row>
    <row r="54" spans="1:9" s="45" customFormat="1" ht="12" x14ac:dyDescent="0.2">
      <c r="A54" s="73"/>
      <c r="B54" s="72"/>
      <c r="C54" s="74"/>
      <c r="D54" s="74"/>
      <c r="E54" s="72"/>
      <c r="F54" s="74"/>
      <c r="G54" s="73"/>
    </row>
    <row r="55" spans="1:9" x14ac:dyDescent="0.25">
      <c r="B55" s="68"/>
      <c r="C55" s="68"/>
      <c r="D55" s="68"/>
    </row>
    <row r="56" spans="1:9" x14ac:dyDescent="0.25">
      <c r="B56" s="68"/>
      <c r="C56" s="68"/>
      <c r="D56" s="68"/>
    </row>
  </sheetData>
  <mergeCells count="1">
    <mergeCell ref="A1:F1"/>
  </mergeCells>
  <conditionalFormatting sqref="G6 B3:E50">
    <cfRule type="expression" dxfId="64" priority="13">
      <formula>#REF!="Revisar"</formula>
    </cfRule>
    <cfRule type="expression" dxfId="63" priority="14">
      <formula>#REF!="OK"</formula>
    </cfRule>
    <cfRule type="expression" dxfId="62" priority="15">
      <formula>#REF!="Atualizar"</formula>
    </cfRule>
  </conditionalFormatting>
  <conditionalFormatting sqref="F5:F50 A3:A50">
    <cfRule type="expression" dxfId="61" priority="10">
      <formula>#REF!="Revisar"</formula>
    </cfRule>
    <cfRule type="expression" dxfId="60" priority="11">
      <formula>#REF!="OK"</formula>
    </cfRule>
    <cfRule type="expression" dxfId="59" priority="12">
      <formula>#REF!="Atualizar"</formula>
    </cfRule>
  </conditionalFormatting>
  <conditionalFormatting sqref="F3:F4">
    <cfRule type="expression" dxfId="58" priority="1">
      <formula>#REF!="Revisar"</formula>
    </cfRule>
    <cfRule type="expression" dxfId="57" priority="2">
      <formula>#REF!="OK"</formula>
    </cfRule>
    <cfRule type="expression" dxfId="56" priority="3">
      <formula>#REF!="Atualizar"</formula>
    </cfRule>
  </conditionalFormatting>
  <printOptions horizontalCentered="1"/>
  <pageMargins left="0.39370078740157483" right="0.39370078740157483" top="0.39370078740157483" bottom="0.39370078740157483" header="0" footer="0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pane ySplit="4" topLeftCell="A5" activePane="bottomLeft" state="frozen"/>
      <selection pane="bottomLeft" activeCell="B14" sqref="B14"/>
    </sheetView>
  </sheetViews>
  <sheetFormatPr defaultRowHeight="15.75" x14ac:dyDescent="0.25"/>
  <cols>
    <col min="1" max="1" width="25.7109375" style="10" customWidth="1"/>
    <col min="2" max="2" width="16.140625" style="16" customWidth="1"/>
    <col min="3" max="3" width="14.140625" style="10" customWidth="1"/>
    <col min="4" max="4" width="12.5703125" style="16" customWidth="1"/>
    <col min="5" max="5" width="13.140625" style="16" customWidth="1"/>
    <col min="6" max="6" width="11" style="10" customWidth="1"/>
    <col min="7" max="7" width="16" style="10" customWidth="1"/>
    <col min="8" max="8" width="17.7109375" style="16" customWidth="1"/>
    <col min="9" max="9" width="14" style="6" customWidth="1"/>
    <col min="10" max="10" width="7.7109375" style="6" customWidth="1"/>
    <col min="11" max="12" width="12.140625" style="6" customWidth="1"/>
    <col min="13" max="13" width="1" style="6" customWidth="1"/>
    <col min="14" max="14" width="9.140625" style="6" customWidth="1"/>
    <col min="15" max="16384" width="9.140625" style="6"/>
  </cols>
  <sheetData>
    <row r="1" spans="1:12" x14ac:dyDescent="0.25">
      <c r="A1" s="90" t="s">
        <v>12</v>
      </c>
      <c r="B1" s="90"/>
      <c r="C1" s="90"/>
      <c r="D1" s="90"/>
      <c r="E1" s="90"/>
      <c r="F1" s="90"/>
      <c r="G1" s="90"/>
      <c r="H1" s="90"/>
      <c r="I1" s="90"/>
      <c r="K1" s="11" t="s">
        <v>129</v>
      </c>
      <c r="L1" s="12">
        <v>43830</v>
      </c>
    </row>
    <row r="2" spans="1:12" x14ac:dyDescent="0.25">
      <c r="A2" s="64"/>
      <c r="B2" s="64"/>
      <c r="C2" s="64"/>
      <c r="D2" s="64"/>
      <c r="E2" s="64"/>
      <c r="F2" s="64"/>
      <c r="G2" s="64"/>
      <c r="H2" s="64"/>
      <c r="I2" s="64"/>
      <c r="K2" s="11"/>
      <c r="L2" s="12"/>
    </row>
    <row r="3" spans="1:12" x14ac:dyDescent="0.25">
      <c r="A3" s="91" t="s">
        <v>11</v>
      </c>
      <c r="B3" s="91" t="s">
        <v>101</v>
      </c>
      <c r="C3" s="92" t="s">
        <v>104</v>
      </c>
      <c r="D3" s="92"/>
      <c r="E3" s="92"/>
      <c r="F3" s="92"/>
      <c r="G3" s="91" t="s">
        <v>105</v>
      </c>
      <c r="H3" s="91" t="s">
        <v>109</v>
      </c>
      <c r="I3" s="91" t="s">
        <v>123</v>
      </c>
      <c r="K3" s="11"/>
      <c r="L3" s="12"/>
    </row>
    <row r="4" spans="1:12" s="8" customFormat="1" ht="45" x14ac:dyDescent="0.25">
      <c r="A4" s="91"/>
      <c r="B4" s="91"/>
      <c r="C4" s="7" t="s">
        <v>106</v>
      </c>
      <c r="D4" s="7" t="s">
        <v>107</v>
      </c>
      <c r="E4" s="7" t="s">
        <v>103</v>
      </c>
      <c r="F4" s="7" t="s">
        <v>108</v>
      </c>
      <c r="G4" s="91"/>
      <c r="H4" s="91"/>
      <c r="I4" s="91"/>
      <c r="K4" s="13" t="s">
        <v>26</v>
      </c>
      <c r="L4" s="14">
        <v>45657</v>
      </c>
    </row>
    <row r="5" spans="1:12" x14ac:dyDescent="0.25">
      <c r="A5" s="25" t="s">
        <v>35</v>
      </c>
      <c r="B5" s="20" t="s">
        <v>9</v>
      </c>
      <c r="C5" s="20">
        <v>2.8E-3</v>
      </c>
      <c r="D5" s="20">
        <v>5.7000000000000002E-3</v>
      </c>
      <c r="E5" s="20">
        <v>0.01</v>
      </c>
      <c r="F5" s="20">
        <f>LARGE(C5:E5,1)</f>
        <v>0.01</v>
      </c>
      <c r="G5" s="23">
        <v>51454.9</v>
      </c>
      <c r="H5" s="23">
        <v>854656.12</v>
      </c>
      <c r="I5" s="67">
        <f>IF(OR(F5="",G5="",H5=""),"",EDATE($L$1,ROUND(H5/G5,0)))</f>
        <v>44347</v>
      </c>
      <c r="J5" s="66"/>
      <c r="K5" s="35" t="s">
        <v>28</v>
      </c>
      <c r="L5" s="11"/>
    </row>
    <row r="6" spans="1:12" x14ac:dyDescent="0.25">
      <c r="A6" s="25" t="s">
        <v>37</v>
      </c>
      <c r="B6" s="20" t="s">
        <v>9</v>
      </c>
      <c r="C6" s="20">
        <v>2.5000000000000001E-3</v>
      </c>
      <c r="D6" s="20">
        <v>2.5899999999999999E-2</v>
      </c>
      <c r="E6" s="20">
        <v>0.01</v>
      </c>
      <c r="F6" s="20">
        <f t="shared" ref="F6:F62" si="0">LARGE(C6:E6,1)</f>
        <v>2.5899999999999999E-2</v>
      </c>
      <c r="G6" s="23">
        <v>46628.56</v>
      </c>
      <c r="H6" s="23">
        <v>267163.09999999998</v>
      </c>
      <c r="I6" s="67">
        <f t="shared" ref="I6:I36" si="1">IF(OR(F6="",G6="",H6=""),"",EDATE($L$1,ROUND(H6/G6,0)))</f>
        <v>44012</v>
      </c>
      <c r="K6" s="36" t="s">
        <v>29</v>
      </c>
      <c r="L6" s="11"/>
    </row>
    <row r="7" spans="1:12" x14ac:dyDescent="0.25">
      <c r="A7" s="25" t="s">
        <v>16</v>
      </c>
      <c r="B7" s="20" t="s">
        <v>127</v>
      </c>
      <c r="C7" s="20">
        <v>3.15E-2</v>
      </c>
      <c r="D7" s="20">
        <v>5.5899999999999998E-2</v>
      </c>
      <c r="E7" s="20">
        <v>0.01</v>
      </c>
      <c r="F7" s="20">
        <v>4.3E-3</v>
      </c>
      <c r="G7" s="23">
        <v>394054.6050000001</v>
      </c>
      <c r="H7" s="23">
        <v>23643276.300000001</v>
      </c>
      <c r="I7" s="67">
        <f t="shared" si="1"/>
        <v>45657</v>
      </c>
      <c r="K7" s="37" t="s">
        <v>30</v>
      </c>
      <c r="L7" s="39" t="s">
        <v>89</v>
      </c>
    </row>
    <row r="8" spans="1:12" x14ac:dyDescent="0.25">
      <c r="A8" s="25" t="s">
        <v>126</v>
      </c>
      <c r="B8" s="20" t="s">
        <v>9</v>
      </c>
      <c r="C8" s="20">
        <v>2.5000000000000001E-3</v>
      </c>
      <c r="D8" s="20">
        <v>8.0000000000000004E-4</v>
      </c>
      <c r="E8" s="20">
        <v>0.01</v>
      </c>
      <c r="F8" s="20">
        <f t="shared" si="0"/>
        <v>0.01</v>
      </c>
      <c r="G8" s="23">
        <v>28440.57</v>
      </c>
      <c r="H8" s="23">
        <v>429436.88</v>
      </c>
      <c r="I8" s="67">
        <f t="shared" si="1"/>
        <v>44286</v>
      </c>
      <c r="J8" s="46"/>
      <c r="K8" s="38" t="s">
        <v>88</v>
      </c>
      <c r="L8" s="18" t="s">
        <v>98</v>
      </c>
    </row>
    <row r="9" spans="1:12" x14ac:dyDescent="0.25">
      <c r="A9" s="25" t="s">
        <v>39</v>
      </c>
      <c r="B9" s="20" t="s">
        <v>127</v>
      </c>
      <c r="C9" s="20">
        <v>3.5000000000000001E-3</v>
      </c>
      <c r="D9" s="20">
        <v>3.2000000000000002E-3</v>
      </c>
      <c r="E9" s="20">
        <v>0.01</v>
      </c>
      <c r="F9" s="20">
        <f t="shared" si="0"/>
        <v>0.01</v>
      </c>
      <c r="G9" s="23">
        <v>37415.4</v>
      </c>
      <c r="H9" s="23">
        <v>795295.84</v>
      </c>
      <c r="I9" s="67">
        <f t="shared" si="1"/>
        <v>44469</v>
      </c>
      <c r="K9" s="42" t="s">
        <v>97</v>
      </c>
    </row>
    <row r="10" spans="1:12" x14ac:dyDescent="0.25">
      <c r="A10" s="25" t="s">
        <v>40</v>
      </c>
      <c r="B10" s="20" t="s">
        <v>9</v>
      </c>
      <c r="C10" s="20">
        <v>3.3999999999999998E-3</v>
      </c>
      <c r="D10" s="20">
        <v>9.4163029851287595E-3</v>
      </c>
      <c r="E10" s="20">
        <v>0.01</v>
      </c>
      <c r="F10" s="20">
        <f t="shared" si="0"/>
        <v>0.01</v>
      </c>
      <c r="G10" s="23">
        <v>31746.400000000001</v>
      </c>
      <c r="H10" s="23">
        <v>711174.01</v>
      </c>
      <c r="I10" s="67">
        <f t="shared" si="1"/>
        <v>44500</v>
      </c>
      <c r="K10" s="9"/>
    </row>
    <row r="11" spans="1:12" x14ac:dyDescent="0.25">
      <c r="A11" s="25" t="s">
        <v>41</v>
      </c>
      <c r="B11" s="20" t="s">
        <v>124</v>
      </c>
      <c r="C11" s="20">
        <v>8.9999999999999998E-4</v>
      </c>
      <c r="D11" s="20">
        <v>4.3E-3</v>
      </c>
      <c r="E11" s="20">
        <v>0.01</v>
      </c>
      <c r="F11" s="20">
        <f t="shared" si="0"/>
        <v>0.01</v>
      </c>
      <c r="G11" s="23">
        <v>97770.45</v>
      </c>
      <c r="H11" s="23">
        <v>546275.61</v>
      </c>
      <c r="I11" s="67">
        <f t="shared" si="1"/>
        <v>44012</v>
      </c>
    </row>
    <row r="12" spans="1:12" x14ac:dyDescent="0.25">
      <c r="A12" s="25" t="s">
        <v>42</v>
      </c>
      <c r="B12" s="20" t="s">
        <v>9</v>
      </c>
      <c r="C12" s="20">
        <v>4.8999999999999998E-3</v>
      </c>
      <c r="D12" s="20">
        <v>3.8999999999999998E-3</v>
      </c>
      <c r="E12" s="20">
        <v>0.01</v>
      </c>
      <c r="F12" s="20">
        <f t="shared" si="0"/>
        <v>0.01</v>
      </c>
      <c r="G12" s="23">
        <v>169024.01608333335</v>
      </c>
      <c r="H12" s="23">
        <v>4996022.3899999997</v>
      </c>
      <c r="I12" s="67">
        <f t="shared" si="1"/>
        <v>44742</v>
      </c>
      <c r="K12" s="9"/>
    </row>
    <row r="13" spans="1:12" x14ac:dyDescent="0.25">
      <c r="A13" s="25" t="s">
        <v>43</v>
      </c>
      <c r="B13" s="20" t="s">
        <v>127</v>
      </c>
      <c r="C13" s="20">
        <v>5.1000000000000004E-3</v>
      </c>
      <c r="D13" s="20">
        <v>0.01</v>
      </c>
      <c r="E13" s="20">
        <v>0.01</v>
      </c>
      <c r="F13" s="20">
        <f t="shared" si="0"/>
        <v>0.01</v>
      </c>
      <c r="G13" s="23">
        <v>353281.17</v>
      </c>
      <c r="H13" s="23">
        <v>10837476.409999991</v>
      </c>
      <c r="I13" s="67">
        <f t="shared" si="1"/>
        <v>44773</v>
      </c>
      <c r="K13" s="9"/>
    </row>
    <row r="14" spans="1:12" x14ac:dyDescent="0.25">
      <c r="A14" s="25" t="s">
        <v>44</v>
      </c>
      <c r="B14" s="20" t="s">
        <v>124</v>
      </c>
      <c r="C14" s="20">
        <v>6.1999999999999998E-3</v>
      </c>
      <c r="D14" s="20">
        <v>3.7000000000000002E-3</v>
      </c>
      <c r="E14" s="20">
        <v>0.01</v>
      </c>
      <c r="F14" s="20">
        <f t="shared" si="0"/>
        <v>0.01</v>
      </c>
      <c r="G14" s="23">
        <v>166035.88</v>
      </c>
      <c r="H14" s="23">
        <v>6189732.9299999997</v>
      </c>
      <c r="I14" s="67">
        <f t="shared" si="1"/>
        <v>44957</v>
      </c>
      <c r="K14" s="9"/>
    </row>
    <row r="15" spans="1:12" x14ac:dyDescent="0.25">
      <c r="A15" s="25" t="s">
        <v>45</v>
      </c>
      <c r="B15" s="20" t="s">
        <v>9</v>
      </c>
      <c r="C15" s="20">
        <v>8.2000000000000007E-3</v>
      </c>
      <c r="D15" s="20">
        <v>2.0210698856246136E-2</v>
      </c>
      <c r="E15" s="20">
        <v>0.01</v>
      </c>
      <c r="F15" s="20">
        <f t="shared" si="0"/>
        <v>2.0210698856246136E-2</v>
      </c>
      <c r="G15" s="23">
        <v>51706.59</v>
      </c>
      <c r="H15" s="23">
        <v>1284838.2</v>
      </c>
      <c r="I15" s="67">
        <f t="shared" si="1"/>
        <v>44592</v>
      </c>
      <c r="K15" s="9"/>
    </row>
    <row r="16" spans="1:12" s="17" customFormat="1" x14ac:dyDescent="0.25">
      <c r="A16" s="25" t="s">
        <v>0</v>
      </c>
      <c r="B16" s="20" t="s">
        <v>9</v>
      </c>
      <c r="C16" s="20">
        <v>2.7000000000000001E-3</v>
      </c>
      <c r="D16" s="20">
        <v>6.6E-3</v>
      </c>
      <c r="E16" s="20">
        <v>0.01</v>
      </c>
      <c r="F16" s="20">
        <f t="shared" si="0"/>
        <v>0.01</v>
      </c>
      <c r="G16" s="23">
        <v>122085.56</v>
      </c>
      <c r="H16" s="23">
        <v>1943901.52</v>
      </c>
      <c r="I16" s="67">
        <f t="shared" si="1"/>
        <v>44316</v>
      </c>
      <c r="K16" s="15"/>
    </row>
    <row r="17" spans="1:11" s="17" customFormat="1" x14ac:dyDescent="0.25">
      <c r="A17" s="25" t="s">
        <v>1</v>
      </c>
      <c r="B17" s="20" t="s">
        <v>9</v>
      </c>
      <c r="C17" s="20">
        <v>2.0999999999999999E-3</v>
      </c>
      <c r="D17" s="20">
        <v>4.1000000000000003E-3</v>
      </c>
      <c r="E17" s="20">
        <v>0.01</v>
      </c>
      <c r="F17" s="20">
        <f t="shared" si="0"/>
        <v>0.01</v>
      </c>
      <c r="G17" s="23">
        <v>64186.64</v>
      </c>
      <c r="H17" s="23">
        <v>798157.93</v>
      </c>
      <c r="I17" s="67">
        <f t="shared" si="1"/>
        <v>44196</v>
      </c>
      <c r="K17" s="15"/>
    </row>
    <row r="18" spans="1:11" x14ac:dyDescent="0.25">
      <c r="A18" s="25" t="s">
        <v>46</v>
      </c>
      <c r="B18" s="20" t="s">
        <v>9</v>
      </c>
      <c r="C18" s="20">
        <v>1.1000000000000001E-3</v>
      </c>
      <c r="D18" s="20">
        <v>3.0999999999999999E-3</v>
      </c>
      <c r="E18" s="20">
        <v>0.01</v>
      </c>
      <c r="F18" s="20">
        <f t="shared" si="0"/>
        <v>0.01</v>
      </c>
      <c r="G18" s="23">
        <v>18304.96</v>
      </c>
      <c r="H18" s="23">
        <v>116848.7</v>
      </c>
      <c r="I18" s="67">
        <f t="shared" si="1"/>
        <v>44012</v>
      </c>
      <c r="K18" s="9"/>
    </row>
    <row r="19" spans="1:11" x14ac:dyDescent="0.25">
      <c r="A19" s="25" t="s">
        <v>47</v>
      </c>
      <c r="B19" s="20" t="s">
        <v>9</v>
      </c>
      <c r="C19" s="20">
        <v>3.2000000000000002E-3</v>
      </c>
      <c r="D19" s="20">
        <v>1.09E-2</v>
      </c>
      <c r="E19" s="20">
        <v>0.01</v>
      </c>
      <c r="F19" s="20">
        <f t="shared" si="0"/>
        <v>1.09E-2</v>
      </c>
      <c r="G19" s="23">
        <v>696857.83</v>
      </c>
      <c r="H19" s="23">
        <v>12162442.91</v>
      </c>
      <c r="I19" s="67">
        <f t="shared" si="1"/>
        <v>44347</v>
      </c>
      <c r="K19" s="9"/>
    </row>
    <row r="20" spans="1:11" x14ac:dyDescent="0.25">
      <c r="A20" s="25" t="s">
        <v>48</v>
      </c>
      <c r="B20" s="20" t="s">
        <v>9</v>
      </c>
      <c r="C20" s="20">
        <v>3.1600000000000003E-2</v>
      </c>
      <c r="D20" s="20">
        <v>1.67E-2</v>
      </c>
      <c r="E20" s="20">
        <v>0.01</v>
      </c>
      <c r="F20" s="20">
        <f t="shared" si="0"/>
        <v>3.1600000000000003E-2</v>
      </c>
      <c r="G20" s="23">
        <v>126737.37</v>
      </c>
      <c r="H20" s="23">
        <v>7604242.2800000003</v>
      </c>
      <c r="I20" s="67">
        <f t="shared" si="1"/>
        <v>45657</v>
      </c>
      <c r="K20" s="9"/>
    </row>
    <row r="21" spans="1:11" x14ac:dyDescent="0.25">
      <c r="A21" s="25" t="s">
        <v>92</v>
      </c>
      <c r="B21" s="20" t="s">
        <v>127</v>
      </c>
      <c r="C21" s="20">
        <v>1.7299999999999999E-2</v>
      </c>
      <c r="D21" s="20">
        <v>2.75E-2</v>
      </c>
      <c r="E21" s="20">
        <v>0.01</v>
      </c>
      <c r="F21" s="20">
        <v>1.7299999999999999E-2</v>
      </c>
      <c r="G21" s="23">
        <v>1039040.53</v>
      </c>
      <c r="H21" s="23">
        <v>62342431.68</v>
      </c>
      <c r="I21" s="67">
        <f t="shared" si="1"/>
        <v>45657</v>
      </c>
      <c r="K21" s="9"/>
    </row>
    <row r="22" spans="1:11" s="17" customFormat="1" x14ac:dyDescent="0.25">
      <c r="A22" s="25" t="s">
        <v>2</v>
      </c>
      <c r="B22" s="20" t="s">
        <v>9</v>
      </c>
      <c r="C22" s="20">
        <v>3.5999999999999999E-3</v>
      </c>
      <c r="D22" s="20">
        <v>1.17E-2</v>
      </c>
      <c r="E22" s="20">
        <v>0.01</v>
      </c>
      <c r="F22" s="20">
        <f t="shared" si="0"/>
        <v>1.17E-2</v>
      </c>
      <c r="G22" s="23">
        <v>44039.360000000001</v>
      </c>
      <c r="H22" s="23">
        <v>804443.31</v>
      </c>
      <c r="I22" s="67">
        <f t="shared" si="1"/>
        <v>44377</v>
      </c>
      <c r="K22" s="15"/>
    </row>
    <row r="23" spans="1:11" x14ac:dyDescent="0.25">
      <c r="A23" s="25" t="s">
        <v>49</v>
      </c>
      <c r="B23" s="20" t="s">
        <v>124</v>
      </c>
      <c r="C23" s="20">
        <v>1.0200000000000001E-2</v>
      </c>
      <c r="D23" s="20">
        <v>1.29E-2</v>
      </c>
      <c r="E23" s="20">
        <v>0.01</v>
      </c>
      <c r="F23" s="20">
        <f t="shared" si="0"/>
        <v>1.29E-2</v>
      </c>
      <c r="G23" s="23">
        <v>21266.37</v>
      </c>
      <c r="H23" s="23">
        <v>1008340.9</v>
      </c>
      <c r="I23" s="67">
        <f t="shared" si="1"/>
        <v>45260</v>
      </c>
      <c r="K23" s="9"/>
    </row>
    <row r="24" spans="1:11" x14ac:dyDescent="0.25">
      <c r="A24" s="25" t="s">
        <v>93</v>
      </c>
      <c r="B24" s="20" t="s">
        <v>127</v>
      </c>
      <c r="C24" s="20">
        <v>1.3100000000000001E-2</v>
      </c>
      <c r="D24" s="20">
        <v>1.6500000000000001E-2</v>
      </c>
      <c r="E24" s="20">
        <v>1.4999999999999999E-2</v>
      </c>
      <c r="F24" s="20">
        <v>1.3100000000000001E-2</v>
      </c>
      <c r="G24" s="23">
        <v>27115157.647166666</v>
      </c>
      <c r="H24" s="23">
        <v>1626909458.8299999</v>
      </c>
      <c r="I24" s="67">
        <f t="shared" si="1"/>
        <v>45657</v>
      </c>
      <c r="K24" s="9"/>
    </row>
    <row r="25" spans="1:11" x14ac:dyDescent="0.25">
      <c r="A25" s="25" t="s">
        <v>50</v>
      </c>
      <c r="B25" s="20" t="s">
        <v>9</v>
      </c>
      <c r="C25" s="20">
        <v>8.8999999999999999E-3</v>
      </c>
      <c r="D25" s="20">
        <v>1.4500000000000001E-2</v>
      </c>
      <c r="E25" s="20">
        <v>0.01</v>
      </c>
      <c r="F25" s="20">
        <f t="shared" si="0"/>
        <v>1.4500000000000001E-2</v>
      </c>
      <c r="G25" s="23">
        <v>2154251.1891702907</v>
      </c>
      <c r="H25" s="23">
        <v>79437778.420000002</v>
      </c>
      <c r="I25" s="67">
        <f t="shared" si="1"/>
        <v>44957</v>
      </c>
      <c r="K25" s="9"/>
    </row>
    <row r="26" spans="1:11" x14ac:dyDescent="0.25">
      <c r="A26" s="25" t="s">
        <v>51</v>
      </c>
      <c r="B26" s="20" t="s">
        <v>9</v>
      </c>
      <c r="C26" s="20">
        <v>4.7999999999999996E-3</v>
      </c>
      <c r="D26" s="20">
        <v>6.6E-3</v>
      </c>
      <c r="E26" s="20">
        <v>0.01</v>
      </c>
      <c r="F26" s="20">
        <f t="shared" si="0"/>
        <v>0.01</v>
      </c>
      <c r="G26" s="23">
        <v>25553.16</v>
      </c>
      <c r="H26" s="23">
        <v>741750.04</v>
      </c>
      <c r="I26" s="67">
        <f t="shared" si="1"/>
        <v>44712</v>
      </c>
      <c r="K26" s="9"/>
    </row>
    <row r="27" spans="1:11" x14ac:dyDescent="0.25">
      <c r="A27" s="25" t="s">
        <v>52</v>
      </c>
      <c r="B27" s="20" t="s">
        <v>9</v>
      </c>
      <c r="C27" s="20">
        <v>3.8999999999999998E-3</v>
      </c>
      <c r="D27" s="20">
        <v>8.8000000000000005E-3</v>
      </c>
      <c r="E27" s="20">
        <v>0.01</v>
      </c>
      <c r="F27" s="20">
        <f t="shared" si="0"/>
        <v>0.01</v>
      </c>
      <c r="G27" s="23">
        <v>147343.5</v>
      </c>
      <c r="H27" s="23">
        <v>3464834.29</v>
      </c>
      <c r="I27" s="67">
        <f t="shared" si="1"/>
        <v>44561</v>
      </c>
      <c r="K27" s="9"/>
    </row>
    <row r="28" spans="1:11" x14ac:dyDescent="0.25">
      <c r="A28" s="25" t="s">
        <v>53</v>
      </c>
      <c r="B28" s="20" t="s">
        <v>9</v>
      </c>
      <c r="C28" s="20">
        <v>2.5999999999999999E-3</v>
      </c>
      <c r="D28" s="20">
        <v>1.7500000000000002E-2</v>
      </c>
      <c r="E28" s="20">
        <v>0.01</v>
      </c>
      <c r="F28" s="20">
        <f t="shared" si="0"/>
        <v>1.7500000000000002E-2</v>
      </c>
      <c r="G28" s="23">
        <v>82311.77</v>
      </c>
      <c r="H28" s="23">
        <v>729874.12</v>
      </c>
      <c r="I28" s="67">
        <f t="shared" si="1"/>
        <v>44104</v>
      </c>
      <c r="K28" s="9"/>
    </row>
    <row r="29" spans="1:11" x14ac:dyDescent="0.25">
      <c r="A29" s="25" t="s">
        <v>54</v>
      </c>
      <c r="B29" s="20" t="s">
        <v>9</v>
      </c>
      <c r="C29" s="20">
        <v>0.01</v>
      </c>
      <c r="D29" s="20">
        <v>1.66E-2</v>
      </c>
      <c r="E29" s="20">
        <v>0.01</v>
      </c>
      <c r="F29" s="20">
        <f t="shared" si="0"/>
        <v>1.66E-2</v>
      </c>
      <c r="G29" s="23">
        <v>213529.33</v>
      </c>
      <c r="H29" s="23">
        <v>7868289.1100000003</v>
      </c>
      <c r="I29" s="67">
        <f t="shared" si="1"/>
        <v>44957</v>
      </c>
      <c r="K29" s="9"/>
    </row>
    <row r="30" spans="1:11" x14ac:dyDescent="0.25">
      <c r="A30" s="25" t="s">
        <v>55</v>
      </c>
      <c r="B30" s="20" t="s">
        <v>9</v>
      </c>
      <c r="C30" s="20">
        <v>2.5000000000000001E-3</v>
      </c>
      <c r="D30" s="20">
        <v>1.5599999999999999E-2</v>
      </c>
      <c r="E30" s="20">
        <v>0.01</v>
      </c>
      <c r="F30" s="20">
        <f t="shared" si="0"/>
        <v>1.5599999999999999E-2</v>
      </c>
      <c r="G30" s="23">
        <v>17623.84</v>
      </c>
      <c r="H30" s="23">
        <v>168555.49</v>
      </c>
      <c r="I30" s="67">
        <f t="shared" si="1"/>
        <v>44135</v>
      </c>
      <c r="K30" s="9"/>
    </row>
    <row r="31" spans="1:11" x14ac:dyDescent="0.25">
      <c r="A31" s="25" t="s">
        <v>56</v>
      </c>
      <c r="B31" s="20" t="s">
        <v>9</v>
      </c>
      <c r="C31" s="20">
        <v>6.3E-3</v>
      </c>
      <c r="D31" s="20">
        <v>1.0999999999999999E-2</v>
      </c>
      <c r="E31" s="20">
        <v>0.01</v>
      </c>
      <c r="F31" s="20">
        <f t="shared" si="0"/>
        <v>1.0999999999999999E-2</v>
      </c>
      <c r="G31" s="23">
        <v>65337.86</v>
      </c>
      <c r="H31" s="23">
        <v>2216900.87</v>
      </c>
      <c r="I31" s="67">
        <f t="shared" si="1"/>
        <v>44865</v>
      </c>
      <c r="K31" s="9"/>
    </row>
    <row r="32" spans="1:11" x14ac:dyDescent="0.25">
      <c r="A32" s="25" t="s">
        <v>57</v>
      </c>
      <c r="B32" s="20" t="s">
        <v>9</v>
      </c>
      <c r="C32" s="20">
        <v>5.1000000000000004E-3</v>
      </c>
      <c r="D32" s="20">
        <v>1.2800000000000001E-2</v>
      </c>
      <c r="E32" s="20">
        <v>0.01</v>
      </c>
      <c r="F32" s="20">
        <f t="shared" si="0"/>
        <v>1.2800000000000001E-2</v>
      </c>
      <c r="G32" s="23">
        <v>34498.51</v>
      </c>
      <c r="H32" s="23">
        <v>827237.55</v>
      </c>
      <c r="I32" s="67">
        <f t="shared" si="1"/>
        <v>44561</v>
      </c>
      <c r="K32" s="9"/>
    </row>
    <row r="33" spans="1:11" x14ac:dyDescent="0.25">
      <c r="A33" s="25" t="s">
        <v>58</v>
      </c>
      <c r="B33" s="20" t="s">
        <v>9</v>
      </c>
      <c r="C33" s="20">
        <v>1.6E-2</v>
      </c>
      <c r="D33" s="20">
        <v>1.89E-2</v>
      </c>
      <c r="E33" s="20">
        <v>0.01</v>
      </c>
      <c r="F33" s="20">
        <f t="shared" si="0"/>
        <v>1.89E-2</v>
      </c>
      <c r="G33" s="23">
        <v>101602.42</v>
      </c>
      <c r="H33" s="23">
        <v>5165397.25</v>
      </c>
      <c r="I33" s="67">
        <f t="shared" si="1"/>
        <v>45382</v>
      </c>
      <c r="K33" s="9"/>
    </row>
    <row r="34" spans="1:11" x14ac:dyDescent="0.25">
      <c r="A34" s="25" t="s">
        <v>59</v>
      </c>
      <c r="B34" s="20" t="s">
        <v>9</v>
      </c>
      <c r="C34" s="20">
        <v>2.8E-3</v>
      </c>
      <c r="D34" s="20">
        <v>1.2800000000000001E-2</v>
      </c>
      <c r="E34" s="20">
        <v>0.01</v>
      </c>
      <c r="F34" s="20">
        <f t="shared" si="0"/>
        <v>1.2800000000000001E-2</v>
      </c>
      <c r="G34" s="23">
        <v>572228.73</v>
      </c>
      <c r="H34" s="23">
        <v>7425554.5599999996</v>
      </c>
      <c r="I34" s="67">
        <f t="shared" si="1"/>
        <v>44227</v>
      </c>
      <c r="K34" s="9"/>
    </row>
    <row r="35" spans="1:11" x14ac:dyDescent="0.25">
      <c r="A35" s="25" t="s">
        <v>60</v>
      </c>
      <c r="B35" s="20" t="s">
        <v>9</v>
      </c>
      <c r="C35" s="20">
        <v>2.0199999999999999E-2</v>
      </c>
      <c r="D35" s="20">
        <v>3.4799999999999998E-2</v>
      </c>
      <c r="E35" s="20">
        <v>0.01</v>
      </c>
      <c r="F35" s="20">
        <f t="shared" si="0"/>
        <v>3.4799999999999998E-2</v>
      </c>
      <c r="G35" s="23">
        <v>139653.29970007084</v>
      </c>
      <c r="H35" s="23">
        <v>4847676.4999999972</v>
      </c>
      <c r="I35" s="67">
        <f t="shared" si="1"/>
        <v>44895</v>
      </c>
      <c r="K35" s="9"/>
    </row>
    <row r="36" spans="1:11" x14ac:dyDescent="0.25">
      <c r="A36" s="25" t="s">
        <v>61</v>
      </c>
      <c r="B36" s="20" t="s">
        <v>9</v>
      </c>
      <c r="C36" s="20">
        <v>1.2999999999999999E-3</v>
      </c>
      <c r="D36" s="20">
        <v>7.9000000000000008E-3</v>
      </c>
      <c r="E36" s="20">
        <v>0.01</v>
      </c>
      <c r="F36" s="20">
        <f t="shared" si="0"/>
        <v>0.01</v>
      </c>
      <c r="G36" s="23">
        <v>26769.633783333335</v>
      </c>
      <c r="H36" s="23">
        <v>201068.94</v>
      </c>
      <c r="I36" s="67">
        <f t="shared" si="1"/>
        <v>44074</v>
      </c>
      <c r="K36" s="9"/>
    </row>
    <row r="37" spans="1:11" x14ac:dyDescent="0.25">
      <c r="A37" s="25" t="s">
        <v>62</v>
      </c>
      <c r="B37" s="20" t="s">
        <v>9</v>
      </c>
      <c r="C37" s="20">
        <v>6.1000000000000004E-3</v>
      </c>
      <c r="D37" s="20">
        <v>8.3000000000000001E-3</v>
      </c>
      <c r="E37" s="20">
        <v>0.01</v>
      </c>
      <c r="F37" s="20">
        <f t="shared" si="0"/>
        <v>0.01</v>
      </c>
      <c r="G37" s="23">
        <v>21891.09</v>
      </c>
      <c r="H37" s="23">
        <v>793802.13000000012</v>
      </c>
      <c r="I37" s="67">
        <f t="shared" ref="I37:I62" si="2">IF(OR(F37="",G37="",H37=""),"",EDATE($L$1,ROUND(H37/G37,0)))</f>
        <v>44926</v>
      </c>
      <c r="K37" s="9"/>
    </row>
    <row r="38" spans="1:11" x14ac:dyDescent="0.25">
      <c r="A38" s="25" t="s">
        <v>63</v>
      </c>
      <c r="B38" s="20" t="s">
        <v>9</v>
      </c>
      <c r="C38" s="20">
        <v>7.9000000000000008E-3</v>
      </c>
      <c r="D38" s="20">
        <v>2.8E-3</v>
      </c>
      <c r="E38" s="20">
        <v>0.01</v>
      </c>
      <c r="F38" s="20">
        <f t="shared" si="0"/>
        <v>0.01</v>
      </c>
      <c r="G38" s="23">
        <v>67362.990000000005</v>
      </c>
      <c r="H38" s="23">
        <v>3186303.66</v>
      </c>
      <c r="I38" s="67">
        <f t="shared" si="2"/>
        <v>45260</v>
      </c>
      <c r="K38" s="9"/>
    </row>
    <row r="39" spans="1:11" x14ac:dyDescent="0.25">
      <c r="A39" s="25" t="s">
        <v>64</v>
      </c>
      <c r="B39" s="20" t="s">
        <v>9</v>
      </c>
      <c r="C39" s="20">
        <v>3.7000000000000002E-3</v>
      </c>
      <c r="D39" s="20">
        <v>7.4999999999999997E-3</v>
      </c>
      <c r="E39" s="20">
        <v>0.01</v>
      </c>
      <c r="F39" s="20">
        <f t="shared" si="0"/>
        <v>0.01</v>
      </c>
      <c r="G39" s="23">
        <v>25426.527900000001</v>
      </c>
      <c r="H39" s="23">
        <v>565374.85</v>
      </c>
      <c r="I39" s="67">
        <f t="shared" si="2"/>
        <v>44500</v>
      </c>
      <c r="K39" s="9"/>
    </row>
    <row r="40" spans="1:11" x14ac:dyDescent="0.25">
      <c r="A40" s="25" t="s">
        <v>65</v>
      </c>
      <c r="B40" s="20" t="s">
        <v>9</v>
      </c>
      <c r="C40" s="20">
        <v>4.8999999999999998E-3</v>
      </c>
      <c r="D40" s="20">
        <v>1.35E-2</v>
      </c>
      <c r="E40" s="20">
        <v>0.01</v>
      </c>
      <c r="F40" s="20">
        <f t="shared" si="0"/>
        <v>1.35E-2</v>
      </c>
      <c r="G40" s="23">
        <v>70349.600205214258</v>
      </c>
      <c r="H40" s="23">
        <v>1542670.65</v>
      </c>
      <c r="I40" s="67">
        <f t="shared" si="2"/>
        <v>44500</v>
      </c>
      <c r="K40" s="9"/>
    </row>
    <row r="41" spans="1:11" x14ac:dyDescent="0.25">
      <c r="A41" s="25" t="s">
        <v>66</v>
      </c>
      <c r="B41" s="20" t="s">
        <v>9</v>
      </c>
      <c r="C41" s="20">
        <v>4.5999999999999999E-3</v>
      </c>
      <c r="D41" s="20">
        <v>8.2000000000000007E-3</v>
      </c>
      <c r="E41" s="20">
        <v>0.01</v>
      </c>
      <c r="F41" s="20">
        <f t="shared" si="0"/>
        <v>0.01</v>
      </c>
      <c r="G41" s="23">
        <v>63428.61</v>
      </c>
      <c r="H41" s="23">
        <v>1732173.3099999998</v>
      </c>
      <c r="I41" s="67">
        <f t="shared" si="2"/>
        <v>44651</v>
      </c>
      <c r="K41" s="9"/>
    </row>
    <row r="42" spans="1:11" x14ac:dyDescent="0.25">
      <c r="A42" s="25" t="s">
        <v>67</v>
      </c>
      <c r="B42" s="20" t="s">
        <v>9</v>
      </c>
      <c r="C42" s="20">
        <v>8.9999999999999998E-4</v>
      </c>
      <c r="D42" s="20">
        <v>1.2800000000000001E-2</v>
      </c>
      <c r="E42" s="20">
        <v>0.01</v>
      </c>
      <c r="F42" s="20">
        <f t="shared" si="0"/>
        <v>1.2800000000000001E-2</v>
      </c>
      <c r="G42" s="23">
        <v>70664.55</v>
      </c>
      <c r="H42" s="23">
        <v>306700.30176533316</v>
      </c>
      <c r="I42" s="67">
        <f t="shared" si="2"/>
        <v>43951</v>
      </c>
      <c r="K42" s="9"/>
    </row>
    <row r="43" spans="1:11" s="17" customFormat="1" x14ac:dyDescent="0.25">
      <c r="A43" s="25" t="s">
        <v>24</v>
      </c>
      <c r="B43" s="20" t="s">
        <v>9</v>
      </c>
      <c r="C43" s="20">
        <v>2.8E-3</v>
      </c>
      <c r="D43" s="20">
        <v>1.2500000000000001E-2</v>
      </c>
      <c r="E43" s="20">
        <v>0.01</v>
      </c>
      <c r="F43" s="20">
        <f t="shared" si="0"/>
        <v>1.2500000000000001E-2</v>
      </c>
      <c r="G43" s="23">
        <v>15708.18</v>
      </c>
      <c r="H43" s="23">
        <v>206178.34000000003</v>
      </c>
      <c r="I43" s="67">
        <f t="shared" si="2"/>
        <v>44227</v>
      </c>
      <c r="K43" s="15"/>
    </row>
    <row r="44" spans="1:11" x14ac:dyDescent="0.25">
      <c r="A44" s="25" t="s">
        <v>69</v>
      </c>
      <c r="B44" s="20" t="s">
        <v>127</v>
      </c>
      <c r="C44" s="20">
        <v>1.6999999999999999E-3</v>
      </c>
      <c r="D44" s="20">
        <v>3.8E-3</v>
      </c>
      <c r="E44" s="20">
        <v>0.01</v>
      </c>
      <c r="F44" s="20">
        <f t="shared" si="0"/>
        <v>0.01</v>
      </c>
      <c r="G44" s="23">
        <v>58301.859875000002</v>
      </c>
      <c r="H44" s="23">
        <v>609806.47</v>
      </c>
      <c r="I44" s="67">
        <f t="shared" si="2"/>
        <v>44135</v>
      </c>
      <c r="K44" s="9"/>
    </row>
    <row r="45" spans="1:11" x14ac:dyDescent="0.25">
      <c r="A45" s="25" t="s">
        <v>70</v>
      </c>
      <c r="B45" s="20" t="s">
        <v>9</v>
      </c>
      <c r="C45" s="20">
        <v>1.8499999999999999E-2</v>
      </c>
      <c r="D45" s="20">
        <v>1.1000000000000001E-3</v>
      </c>
      <c r="E45" s="20">
        <v>0.01</v>
      </c>
      <c r="F45" s="20">
        <f t="shared" si="0"/>
        <v>1.8499999999999999E-2</v>
      </c>
      <c r="G45" s="23">
        <v>50728.1</v>
      </c>
      <c r="H45" s="23">
        <v>3043685.74</v>
      </c>
      <c r="I45" s="67">
        <f t="shared" si="2"/>
        <v>45657</v>
      </c>
      <c r="K45" s="9"/>
    </row>
    <row r="46" spans="1:11" s="17" customFormat="1" x14ac:dyDescent="0.25">
      <c r="A46" s="25" t="s">
        <v>3</v>
      </c>
      <c r="B46" s="20" t="s">
        <v>9</v>
      </c>
      <c r="C46" s="20">
        <v>7.7999999999999996E-3</v>
      </c>
      <c r="D46" s="20">
        <v>9.1000000000000004E-3</v>
      </c>
      <c r="E46" s="20">
        <v>0.01</v>
      </c>
      <c r="F46" s="20">
        <f t="shared" si="0"/>
        <v>0.01</v>
      </c>
      <c r="G46" s="23">
        <v>20920.375416666669</v>
      </c>
      <c r="H46" s="23">
        <v>974705.54</v>
      </c>
      <c r="I46" s="67">
        <f t="shared" si="2"/>
        <v>45260</v>
      </c>
      <c r="K46" s="15"/>
    </row>
    <row r="47" spans="1:11" x14ac:dyDescent="0.25">
      <c r="A47" s="25" t="s">
        <v>71</v>
      </c>
      <c r="B47" s="20" t="s">
        <v>9</v>
      </c>
      <c r="C47" s="20">
        <v>9.4000000000000004E-3</v>
      </c>
      <c r="D47" s="20">
        <v>3.1600000000000003E-2</v>
      </c>
      <c r="E47" s="20">
        <v>0.01</v>
      </c>
      <c r="F47" s="20">
        <f t="shared" si="0"/>
        <v>3.1600000000000003E-2</v>
      </c>
      <c r="G47" s="23">
        <v>45762.400000000001</v>
      </c>
      <c r="H47" s="23">
        <v>808036.52</v>
      </c>
      <c r="I47" s="67">
        <f t="shared" si="2"/>
        <v>44377</v>
      </c>
      <c r="K47" s="9"/>
    </row>
    <row r="48" spans="1:11" x14ac:dyDescent="0.25">
      <c r="A48" s="25" t="s">
        <v>72</v>
      </c>
      <c r="B48" s="20" t="s">
        <v>9</v>
      </c>
      <c r="C48" s="20">
        <v>5.5999999999999999E-3</v>
      </c>
      <c r="D48" s="20">
        <v>3.09E-2</v>
      </c>
      <c r="E48" s="20">
        <v>0.01</v>
      </c>
      <c r="F48" s="20">
        <f t="shared" si="0"/>
        <v>3.09E-2</v>
      </c>
      <c r="G48" s="23">
        <v>128872.41441021924</v>
      </c>
      <c r="H48" s="23">
        <v>1402687.58</v>
      </c>
      <c r="I48" s="67">
        <f t="shared" si="2"/>
        <v>44165</v>
      </c>
      <c r="K48" s="9"/>
    </row>
    <row r="49" spans="1:12" x14ac:dyDescent="0.25">
      <c r="A49" s="25" t="s">
        <v>73</v>
      </c>
      <c r="B49" s="20" t="s">
        <v>9</v>
      </c>
      <c r="C49" s="20">
        <v>3.0999999999999999E-3</v>
      </c>
      <c r="D49" s="20">
        <v>1.4E-3</v>
      </c>
      <c r="E49" s="20">
        <v>0.01</v>
      </c>
      <c r="F49" s="20">
        <f t="shared" si="0"/>
        <v>0.01</v>
      </c>
      <c r="G49" s="23">
        <v>20966.740000000002</v>
      </c>
      <c r="H49" s="23">
        <v>379214.97</v>
      </c>
      <c r="I49" s="67">
        <f t="shared" si="2"/>
        <v>44377</v>
      </c>
      <c r="K49" s="9"/>
    </row>
    <row r="50" spans="1:12" x14ac:dyDescent="0.25">
      <c r="A50" s="25" t="s">
        <v>74</v>
      </c>
      <c r="B50" s="20" t="s">
        <v>9</v>
      </c>
      <c r="C50" s="20">
        <v>2.2000000000000001E-3</v>
      </c>
      <c r="D50" s="20">
        <v>6.6E-3</v>
      </c>
      <c r="E50" s="20">
        <v>0.01</v>
      </c>
      <c r="F50" s="20">
        <f t="shared" si="0"/>
        <v>0.01</v>
      </c>
      <c r="G50" s="23">
        <v>23765.32</v>
      </c>
      <c r="H50" s="23">
        <v>319209.25</v>
      </c>
      <c r="I50" s="67">
        <f t="shared" si="2"/>
        <v>44227</v>
      </c>
      <c r="K50" s="9"/>
    </row>
    <row r="51" spans="1:12" s="17" customFormat="1" x14ac:dyDescent="0.25">
      <c r="A51" s="25" t="s">
        <v>8</v>
      </c>
      <c r="B51" s="20" t="s">
        <v>9</v>
      </c>
      <c r="C51" s="20">
        <v>1.4E-3</v>
      </c>
      <c r="D51" s="20">
        <v>1.06E-2</v>
      </c>
      <c r="E51" s="20">
        <v>0.01</v>
      </c>
      <c r="F51" s="20">
        <f t="shared" si="0"/>
        <v>1.06E-2</v>
      </c>
      <c r="G51" s="23">
        <v>231599.04</v>
      </c>
      <c r="H51" s="23">
        <v>1857280.53</v>
      </c>
      <c r="I51" s="67">
        <f t="shared" si="2"/>
        <v>44074</v>
      </c>
      <c r="K51" s="15"/>
    </row>
    <row r="52" spans="1:12" x14ac:dyDescent="0.25">
      <c r="A52" s="25" t="s">
        <v>75</v>
      </c>
      <c r="B52" s="20" t="s">
        <v>9</v>
      </c>
      <c r="C52" s="20">
        <v>1.2999999999999999E-3</v>
      </c>
      <c r="D52" s="20">
        <v>4.8999999999999998E-3</v>
      </c>
      <c r="E52" s="20">
        <v>0.01</v>
      </c>
      <c r="F52" s="20">
        <f t="shared" si="0"/>
        <v>0.01</v>
      </c>
      <c r="G52" s="23">
        <v>78129.293024999992</v>
      </c>
      <c r="H52" s="23">
        <v>589776.64000000001</v>
      </c>
      <c r="I52" s="67">
        <f t="shared" si="2"/>
        <v>44074</v>
      </c>
      <c r="K52" s="9"/>
    </row>
    <row r="53" spans="1:12" x14ac:dyDescent="0.25">
      <c r="A53" s="25" t="s">
        <v>76</v>
      </c>
      <c r="B53" s="20" t="s">
        <v>9</v>
      </c>
      <c r="C53" s="20">
        <v>1.1000000000000001E-3</v>
      </c>
      <c r="D53" s="20">
        <v>1.1000000000000001E-3</v>
      </c>
      <c r="E53" s="20">
        <v>0.01</v>
      </c>
      <c r="F53" s="20">
        <f t="shared" si="0"/>
        <v>0.01</v>
      </c>
      <c r="G53" s="23">
        <v>20127.981958333337</v>
      </c>
      <c r="H53" s="23">
        <v>138233.5</v>
      </c>
      <c r="I53" s="67">
        <f t="shared" si="2"/>
        <v>44043</v>
      </c>
      <c r="K53" s="9"/>
    </row>
    <row r="54" spans="1:12" x14ac:dyDescent="0.25">
      <c r="A54" s="25" t="s">
        <v>77</v>
      </c>
      <c r="B54" s="20" t="s">
        <v>9</v>
      </c>
      <c r="C54" s="20">
        <v>9.1000000000000004E-3</v>
      </c>
      <c r="D54" s="20">
        <v>6.1000000000000004E-3</v>
      </c>
      <c r="E54" s="20">
        <v>0.01</v>
      </c>
      <c r="F54" s="20">
        <f t="shared" si="0"/>
        <v>0.01</v>
      </c>
      <c r="G54" s="23">
        <v>564032.7953916667</v>
      </c>
      <c r="H54" s="23">
        <v>30639708.687150937</v>
      </c>
      <c r="I54" s="67">
        <f t="shared" si="2"/>
        <v>45473</v>
      </c>
      <c r="K54" s="9"/>
    </row>
    <row r="55" spans="1:12" x14ac:dyDescent="0.25">
      <c r="A55" s="25" t="s">
        <v>78</v>
      </c>
      <c r="B55" s="20" t="s">
        <v>9</v>
      </c>
      <c r="C55" s="20">
        <v>1.43E-2</v>
      </c>
      <c r="D55" s="20">
        <v>1.47E-2</v>
      </c>
      <c r="E55" s="20">
        <v>0.01</v>
      </c>
      <c r="F55" s="20">
        <f t="shared" si="0"/>
        <v>1.47E-2</v>
      </c>
      <c r="G55" s="23">
        <v>26458.821513249997</v>
      </c>
      <c r="H55" s="23">
        <v>1542786.5899999999</v>
      </c>
      <c r="I55" s="67">
        <f t="shared" si="2"/>
        <v>45596</v>
      </c>
      <c r="K55" s="9"/>
    </row>
    <row r="56" spans="1:12" x14ac:dyDescent="0.25">
      <c r="A56" s="25" t="s">
        <v>79</v>
      </c>
      <c r="B56" s="20" t="s">
        <v>9</v>
      </c>
      <c r="C56" s="20">
        <v>6.4000000000000003E-3</v>
      </c>
      <c r="D56" s="20">
        <v>2.4E-2</v>
      </c>
      <c r="E56" s="20">
        <v>0.01</v>
      </c>
      <c r="F56" s="20">
        <f t="shared" si="0"/>
        <v>2.4E-2</v>
      </c>
      <c r="G56" s="23">
        <v>164914.07796</v>
      </c>
      <c r="H56" s="23">
        <v>2652695.0699999998</v>
      </c>
      <c r="I56" s="67">
        <f t="shared" si="2"/>
        <v>44316</v>
      </c>
      <c r="K56" s="9"/>
    </row>
    <row r="57" spans="1:12" s="17" customFormat="1" x14ac:dyDescent="0.25">
      <c r="A57" s="25" t="s">
        <v>4</v>
      </c>
      <c r="B57" s="20" t="s">
        <v>9</v>
      </c>
      <c r="C57" s="20">
        <v>3.8E-3</v>
      </c>
      <c r="D57" s="20">
        <v>1.9099999999999999E-2</v>
      </c>
      <c r="E57" s="20">
        <v>0.01</v>
      </c>
      <c r="F57" s="20">
        <f t="shared" si="0"/>
        <v>1.9099999999999999E-2</v>
      </c>
      <c r="G57" s="23">
        <v>63422.94</v>
      </c>
      <c r="H57" s="23">
        <v>759983.06</v>
      </c>
      <c r="I57" s="67">
        <f t="shared" si="2"/>
        <v>44196</v>
      </c>
      <c r="K57" s="15"/>
    </row>
    <row r="58" spans="1:12" s="17" customFormat="1" x14ac:dyDescent="0.25">
      <c r="A58" s="25" t="s">
        <v>5</v>
      </c>
      <c r="B58" s="20" t="s">
        <v>9</v>
      </c>
      <c r="C58" s="20">
        <v>1.54E-2</v>
      </c>
      <c r="D58" s="20">
        <v>5.5999999999999999E-3</v>
      </c>
      <c r="E58" s="20">
        <v>0.01</v>
      </c>
      <c r="F58" s="20">
        <f t="shared" si="0"/>
        <v>1.54E-2</v>
      </c>
      <c r="G58" s="23">
        <v>75469.39</v>
      </c>
      <c r="H58" s="23">
        <v>4528163.1399999997</v>
      </c>
      <c r="I58" s="67">
        <f t="shared" si="2"/>
        <v>45657</v>
      </c>
      <c r="J58" s="15"/>
      <c r="K58" s="15"/>
      <c r="L58" s="15"/>
    </row>
    <row r="59" spans="1:12" s="17" customFormat="1" x14ac:dyDescent="0.25">
      <c r="A59" s="25" t="s">
        <v>6</v>
      </c>
      <c r="B59" s="20" t="s">
        <v>9</v>
      </c>
      <c r="C59" s="20">
        <v>2.4199999999999999E-2</v>
      </c>
      <c r="D59" s="20">
        <v>1.6400000000000001E-2</v>
      </c>
      <c r="E59" s="20">
        <v>0.01</v>
      </c>
      <c r="F59" s="20">
        <f t="shared" si="0"/>
        <v>2.4199999999999999E-2</v>
      </c>
      <c r="G59" s="23">
        <v>40104.729833333331</v>
      </c>
      <c r="H59" s="23">
        <v>2406283.79</v>
      </c>
      <c r="I59" s="67">
        <f t="shared" si="2"/>
        <v>45657</v>
      </c>
      <c r="K59" s="15"/>
    </row>
    <row r="60" spans="1:12" x14ac:dyDescent="0.25">
      <c r="A60" s="25" t="s">
        <v>80</v>
      </c>
      <c r="B60" s="20" t="s">
        <v>9</v>
      </c>
      <c r="C60" s="20">
        <v>4.7999999999999996E-3</v>
      </c>
      <c r="D60" s="20">
        <v>6.0000000000000001E-3</v>
      </c>
      <c r="E60" s="20">
        <v>0.01</v>
      </c>
      <c r="F60" s="20">
        <f t="shared" si="0"/>
        <v>0.01</v>
      </c>
      <c r="G60" s="23">
        <v>69220.179999999993</v>
      </c>
      <c r="H60" s="23">
        <v>2000987.9000000001</v>
      </c>
      <c r="I60" s="67">
        <f t="shared" si="2"/>
        <v>44712</v>
      </c>
      <c r="K60" s="9"/>
    </row>
    <row r="61" spans="1:12" x14ac:dyDescent="0.25">
      <c r="A61" s="25" t="s">
        <v>81</v>
      </c>
      <c r="B61" s="20" t="s">
        <v>9</v>
      </c>
      <c r="C61" s="20">
        <v>1.6799999999999999E-2</v>
      </c>
      <c r="D61" s="20">
        <v>3.6900000000000002E-2</v>
      </c>
      <c r="E61" s="20">
        <v>0.01</v>
      </c>
      <c r="F61" s="20">
        <f t="shared" si="0"/>
        <v>3.6900000000000002E-2</v>
      </c>
      <c r="G61" s="23">
        <v>831648.89</v>
      </c>
      <c r="H61" s="23">
        <v>22606610.66</v>
      </c>
      <c r="I61" s="67">
        <f t="shared" si="2"/>
        <v>44651</v>
      </c>
      <c r="K61" s="9"/>
    </row>
    <row r="62" spans="1:12" x14ac:dyDescent="0.25">
      <c r="A62" s="25" t="s">
        <v>82</v>
      </c>
      <c r="B62" s="20" t="s">
        <v>9</v>
      </c>
      <c r="C62" s="20">
        <v>1.06E-2</v>
      </c>
      <c r="D62" s="20">
        <v>2.3E-2</v>
      </c>
      <c r="E62" s="20">
        <v>0.01</v>
      </c>
      <c r="F62" s="20">
        <f t="shared" si="0"/>
        <v>2.3E-2</v>
      </c>
      <c r="G62" s="23">
        <v>142338.26</v>
      </c>
      <c r="H62" s="23">
        <v>3942270.1999999993</v>
      </c>
      <c r="I62" s="67">
        <f t="shared" si="2"/>
        <v>44681</v>
      </c>
      <c r="K62" s="9"/>
    </row>
    <row r="63" spans="1:12" s="45" customFormat="1" ht="12" x14ac:dyDescent="0.2">
      <c r="A63" s="43" t="s">
        <v>128</v>
      </c>
      <c r="B63" s="44"/>
      <c r="C63" s="43"/>
      <c r="D63" s="44"/>
      <c r="E63" s="44"/>
      <c r="G63" s="43"/>
      <c r="H63" s="44"/>
      <c r="I63" s="43"/>
    </row>
    <row r="64" spans="1:12" s="45" customFormat="1" ht="12" x14ac:dyDescent="0.2">
      <c r="A64" s="43" t="s">
        <v>95</v>
      </c>
      <c r="B64" s="44"/>
      <c r="C64" s="43"/>
      <c r="D64" s="44"/>
      <c r="E64" s="44"/>
      <c r="G64" s="43"/>
      <c r="H64" s="44"/>
      <c r="I64" s="43"/>
    </row>
    <row r="65" spans="1:9" s="45" customFormat="1" ht="12" x14ac:dyDescent="0.2">
      <c r="A65" s="43" t="s">
        <v>96</v>
      </c>
      <c r="B65" s="44"/>
      <c r="C65" s="43"/>
      <c r="D65" s="44"/>
      <c r="E65" s="44"/>
      <c r="G65" s="43"/>
      <c r="H65" s="44"/>
      <c r="I65" s="43"/>
    </row>
    <row r="66" spans="1:9" s="45" customFormat="1" ht="12" x14ac:dyDescent="0.2">
      <c r="A66" s="43" t="s">
        <v>122</v>
      </c>
      <c r="B66" s="44"/>
      <c r="C66" s="43"/>
      <c r="D66" s="44"/>
      <c r="E66" s="44"/>
      <c r="G66" s="43"/>
      <c r="H66" s="44"/>
      <c r="I66" s="43"/>
    </row>
    <row r="67" spans="1:9" s="45" customFormat="1" ht="12" x14ac:dyDescent="0.2">
      <c r="A67" s="43"/>
      <c r="B67" s="44"/>
      <c r="C67" s="43"/>
      <c r="D67" s="44"/>
      <c r="E67" s="44"/>
      <c r="G67" s="43"/>
      <c r="H67" s="44"/>
      <c r="I67" s="43"/>
    </row>
    <row r="68" spans="1:9" s="10" customFormat="1" ht="15" x14ac:dyDescent="0.25">
      <c r="A68" s="26"/>
      <c r="B68" s="27"/>
      <c r="C68" s="26"/>
      <c r="D68" s="27"/>
      <c r="E68" s="27"/>
      <c r="I68" s="26"/>
    </row>
    <row r="69" spans="1:9" x14ac:dyDescent="0.25">
      <c r="A69" s="93" t="s">
        <v>110</v>
      </c>
      <c r="B69" s="94"/>
      <c r="C69" s="95"/>
      <c r="D69" s="27"/>
      <c r="E69" s="96" t="s">
        <v>86</v>
      </c>
      <c r="F69" s="96"/>
      <c r="G69" s="96"/>
      <c r="H69" s="96"/>
      <c r="I69" s="96"/>
    </row>
    <row r="70" spans="1:9" x14ac:dyDescent="0.25">
      <c r="A70" s="31" t="s">
        <v>118</v>
      </c>
      <c r="B70" s="28">
        <f>COUNTIF($F$5:$F$62,"&lt;=1%")</f>
        <v>27</v>
      </c>
      <c r="C70" s="33">
        <f>B70/B74</f>
        <v>0.46551724137931033</v>
      </c>
      <c r="D70" s="27"/>
      <c r="E70" s="63" t="s">
        <v>84</v>
      </c>
      <c r="F70" s="96" t="s">
        <v>85</v>
      </c>
      <c r="G70" s="96"/>
      <c r="H70" s="97" t="s">
        <v>117</v>
      </c>
      <c r="I70" s="97"/>
    </row>
    <row r="71" spans="1:9" x14ac:dyDescent="0.25">
      <c r="A71" s="31" t="s">
        <v>119</v>
      </c>
      <c r="B71" s="28">
        <f>COUNTIFS($F$5:$F$62,"&gt;1%",$F$5:$F$62,"&lt;=2%")</f>
        <v>21</v>
      </c>
      <c r="C71" s="33">
        <f>B71/B74</f>
        <v>0.36206896551724138</v>
      </c>
      <c r="E71" s="65">
        <v>2020</v>
      </c>
      <c r="F71" s="98">
        <f>COUNTIFS($I$5:$I$62,"&gt;=01/2020",$I$5:$I$62,"&lt;01/2021")</f>
        <v>14</v>
      </c>
      <c r="G71" s="98"/>
      <c r="H71" s="99">
        <f>F76-F71</f>
        <v>44</v>
      </c>
      <c r="I71" s="99"/>
    </row>
    <row r="72" spans="1:9" x14ac:dyDescent="0.25">
      <c r="A72" s="31" t="s">
        <v>120</v>
      </c>
      <c r="B72" s="28">
        <f>COUNTIFS($F$5:$F$62,"&gt;2%",$F$5:$F$62,"&lt;=3%")</f>
        <v>5</v>
      </c>
      <c r="C72" s="33">
        <f>B72/B74</f>
        <v>8.6206896551724144E-2</v>
      </c>
      <c r="E72" s="65">
        <v>2021</v>
      </c>
      <c r="F72" s="98">
        <f>COUNTIFS($I$5:$I$62,"&gt;=01/2021",$I$5:$I$62,"&lt;01/2022")</f>
        <v>17</v>
      </c>
      <c r="G72" s="98"/>
      <c r="H72" s="99">
        <f>H71-F72</f>
        <v>27</v>
      </c>
      <c r="I72" s="99"/>
    </row>
    <row r="73" spans="1:9" x14ac:dyDescent="0.25">
      <c r="A73" s="31" t="s">
        <v>121</v>
      </c>
      <c r="B73" s="28">
        <f>COUNTIF($F$5:$F$62,"&gt;=3%")</f>
        <v>5</v>
      </c>
      <c r="C73" s="33">
        <f>B73/B74</f>
        <v>8.6206896551724144E-2</v>
      </c>
      <c r="E73" s="65">
        <v>2022</v>
      </c>
      <c r="F73" s="98">
        <f>COUNTIFS($I$5:$I$62,"&gt;=01/2022",$I$5:$I$62,"&lt;01/2023")</f>
        <v>11</v>
      </c>
      <c r="G73" s="98"/>
      <c r="H73" s="99">
        <f>H72-F73</f>
        <v>16</v>
      </c>
      <c r="I73" s="99"/>
    </row>
    <row r="74" spans="1:9" x14ac:dyDescent="0.25">
      <c r="A74" s="40" t="s">
        <v>87</v>
      </c>
      <c r="B74" s="41">
        <f>SUM(B70:B73)</f>
        <v>58</v>
      </c>
      <c r="C74" s="30">
        <f>SUM(C70:C73)</f>
        <v>1</v>
      </c>
      <c r="E74" s="65">
        <v>2023</v>
      </c>
      <c r="F74" s="98">
        <f>COUNTIFS($I$5:$I$62,"&gt;=01/2023",$I$5:$I$62,"&lt;01/2024")</f>
        <v>6</v>
      </c>
      <c r="G74" s="98"/>
      <c r="H74" s="99">
        <f>H73-F74</f>
        <v>10</v>
      </c>
      <c r="I74" s="99"/>
    </row>
    <row r="75" spans="1:9" x14ac:dyDescent="0.25">
      <c r="E75" s="65">
        <v>2024</v>
      </c>
      <c r="F75" s="98">
        <f>COUNTIFS($I$5:$I$62,"&gt;=01/2024",$I$5:$I$62,"&lt;01/2025")</f>
        <v>10</v>
      </c>
      <c r="G75" s="98"/>
      <c r="H75" s="99">
        <f>H74-F75</f>
        <v>0</v>
      </c>
      <c r="I75" s="99"/>
    </row>
    <row r="76" spans="1:9" x14ac:dyDescent="0.25">
      <c r="A76" s="6"/>
      <c r="B76" s="6"/>
      <c r="C76" s="6"/>
      <c r="E76" s="63" t="s">
        <v>87</v>
      </c>
      <c r="F76" s="98">
        <f>SUM(F71:F75)</f>
        <v>58</v>
      </c>
      <c r="G76" s="98"/>
      <c r="H76" s="99"/>
      <c r="I76" s="99"/>
    </row>
    <row r="77" spans="1:9" x14ac:dyDescent="0.25">
      <c r="A77" s="6"/>
      <c r="B77" s="6"/>
      <c r="C77" s="6"/>
    </row>
    <row r="78" spans="1:9" x14ac:dyDescent="0.25">
      <c r="A78" s="96" t="s">
        <v>111</v>
      </c>
      <c r="B78" s="96"/>
      <c r="C78" s="96"/>
      <c r="D78" s="96"/>
      <c r="E78" s="96"/>
    </row>
    <row r="79" spans="1:9" x14ac:dyDescent="0.25">
      <c r="A79" s="65" t="s">
        <v>114</v>
      </c>
      <c r="B79" s="100" t="s">
        <v>112</v>
      </c>
      <c r="C79" s="100"/>
      <c r="D79" s="98" t="s">
        <v>113</v>
      </c>
      <c r="E79" s="98"/>
    </row>
    <row r="80" spans="1:9" x14ac:dyDescent="0.25">
      <c r="A80" s="65" t="s">
        <v>115</v>
      </c>
      <c r="B80" s="101">
        <v>816702626.87</v>
      </c>
      <c r="C80" s="101"/>
      <c r="D80" s="102">
        <v>1974124984.74</v>
      </c>
      <c r="E80" s="102"/>
    </row>
    <row r="81" spans="1:5" x14ac:dyDescent="0.25">
      <c r="A81" s="63" t="s">
        <v>116</v>
      </c>
      <c r="B81" s="103">
        <f>B80/(B80+D80)</f>
        <v>0.29263814915420466</v>
      </c>
      <c r="C81" s="103"/>
      <c r="D81" s="104">
        <f>D80/(B80+D80)</f>
        <v>0.70736185084579528</v>
      </c>
      <c r="E81" s="104"/>
    </row>
    <row r="83" spans="1:5" x14ac:dyDescent="0.25">
      <c r="A83" s="6"/>
      <c r="B83" s="6"/>
      <c r="C83" s="6"/>
      <c r="D83" s="6"/>
      <c r="E83" s="6"/>
    </row>
    <row r="84" spans="1:5" x14ac:dyDescent="0.25">
      <c r="A84" s="6"/>
      <c r="B84" s="6"/>
      <c r="C84" s="6"/>
      <c r="D84" s="6"/>
      <c r="E84" s="6"/>
    </row>
  </sheetData>
  <mergeCells count="30">
    <mergeCell ref="F76:G76"/>
    <mergeCell ref="H73:I73"/>
    <mergeCell ref="H74:I74"/>
    <mergeCell ref="H75:I75"/>
    <mergeCell ref="F72:G72"/>
    <mergeCell ref="F73:G73"/>
    <mergeCell ref="F74:G74"/>
    <mergeCell ref="F75:G75"/>
    <mergeCell ref="B80:C80"/>
    <mergeCell ref="B81:C81"/>
    <mergeCell ref="D79:E79"/>
    <mergeCell ref="D80:E80"/>
    <mergeCell ref="D81:E81"/>
    <mergeCell ref="B79:C79"/>
    <mergeCell ref="A78:E78"/>
    <mergeCell ref="F70:G70"/>
    <mergeCell ref="F71:G71"/>
    <mergeCell ref="A69:C69"/>
    <mergeCell ref="A1:I1"/>
    <mergeCell ref="A3:A4"/>
    <mergeCell ref="B3:B4"/>
    <mergeCell ref="C3:F3"/>
    <mergeCell ref="G3:G4"/>
    <mergeCell ref="H3:H4"/>
    <mergeCell ref="I3:I4"/>
    <mergeCell ref="H76:I76"/>
    <mergeCell ref="H70:I70"/>
    <mergeCell ref="E69:I69"/>
    <mergeCell ref="H71:I71"/>
    <mergeCell ref="H72:I72"/>
  </mergeCells>
  <conditionalFormatting sqref="J8 A5:I62">
    <cfRule type="expression" dxfId="47" priority="1">
      <formula>#REF!="Revisar"</formula>
    </cfRule>
    <cfRule type="expression" dxfId="46" priority="2">
      <formula>#REF!="OK"</formula>
    </cfRule>
    <cfRule type="expression" dxfId="45" priority="3">
      <formula>#REF!="Atualizar"</formula>
    </cfRule>
  </conditionalFormatting>
  <printOptions horizontalCentered="1"/>
  <pageMargins left="0.39370078740157483" right="0.39370078740157483" top="0.39370078740157483" bottom="0.39370078740157483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workbookViewId="0">
      <pane ySplit="2" topLeftCell="A12" activePane="bottomLeft" state="frozen"/>
      <selection pane="bottomLeft" activeCell="F27" sqref="F27"/>
    </sheetView>
  </sheetViews>
  <sheetFormatPr defaultRowHeight="15.75" x14ac:dyDescent="0.25"/>
  <cols>
    <col min="1" max="1" width="3.85546875" style="68" customWidth="1"/>
    <col min="2" max="2" width="30" style="75" customWidth="1"/>
    <col min="3" max="3" width="23.42578125" style="76" customWidth="1"/>
    <col min="4" max="4" width="19.85546875" style="76" customWidth="1"/>
    <col min="5" max="5" width="30.7109375" style="75" customWidth="1"/>
    <col min="6" max="6" width="28.85546875" style="76" customWidth="1"/>
    <col min="7" max="7" width="7.7109375" style="68" customWidth="1"/>
    <col min="8" max="8" width="1" style="6" customWidth="1"/>
    <col min="9" max="9" width="9.140625" style="6" customWidth="1"/>
    <col min="10" max="16384" width="9.140625" style="6"/>
  </cols>
  <sheetData>
    <row r="1" spans="1:7" ht="24.95" customHeight="1" x14ac:dyDescent="0.25">
      <c r="A1" s="105" t="s">
        <v>125</v>
      </c>
      <c r="B1" s="105"/>
      <c r="C1" s="105"/>
      <c r="D1" s="105"/>
      <c r="E1" s="105"/>
      <c r="F1" s="105"/>
    </row>
    <row r="2" spans="1:7" ht="30.75" thickBot="1" x14ac:dyDescent="0.3">
      <c r="A2" s="47"/>
      <c r="B2" s="48" t="s">
        <v>11</v>
      </c>
      <c r="C2" s="48" t="s">
        <v>101</v>
      </c>
      <c r="D2" s="48" t="s">
        <v>108</v>
      </c>
      <c r="E2" s="48" t="s">
        <v>105</v>
      </c>
      <c r="F2" s="48" t="s">
        <v>123</v>
      </c>
    </row>
    <row r="3" spans="1:7" ht="16.5" thickTop="1" x14ac:dyDescent="0.25">
      <c r="A3" s="49">
        <v>1</v>
      </c>
      <c r="B3" s="50" t="s">
        <v>35</v>
      </c>
      <c r="C3" s="51" t="s">
        <v>9</v>
      </c>
      <c r="D3" s="51">
        <v>0.01</v>
      </c>
      <c r="E3" s="52">
        <v>51454.9</v>
      </c>
      <c r="F3" s="53">
        <v>44347</v>
      </c>
      <c r="G3" s="70"/>
    </row>
    <row r="4" spans="1:7" x14ac:dyDescent="0.25">
      <c r="A4" s="54">
        <v>2</v>
      </c>
      <c r="B4" s="50" t="s">
        <v>37</v>
      </c>
      <c r="C4" s="51" t="s">
        <v>9</v>
      </c>
      <c r="D4" s="51">
        <v>2.5899999999999999E-2</v>
      </c>
      <c r="E4" s="52">
        <v>46628.56</v>
      </c>
      <c r="F4" s="53">
        <v>44012</v>
      </c>
    </row>
    <row r="5" spans="1:7" x14ac:dyDescent="0.25">
      <c r="A5" s="60">
        <v>3</v>
      </c>
      <c r="B5" s="56" t="s">
        <v>16</v>
      </c>
      <c r="C5" s="57" t="s">
        <v>127</v>
      </c>
      <c r="D5" s="57">
        <v>4.3E-3</v>
      </c>
      <c r="E5" s="58">
        <v>394054.6050000001</v>
      </c>
      <c r="F5" s="59">
        <v>45657</v>
      </c>
    </row>
    <row r="6" spans="1:7" x14ac:dyDescent="0.25">
      <c r="A6" s="54">
        <v>4</v>
      </c>
      <c r="B6" s="50" t="s">
        <v>126</v>
      </c>
      <c r="C6" s="51" t="s">
        <v>9</v>
      </c>
      <c r="D6" s="51">
        <v>0.01</v>
      </c>
      <c r="E6" s="52">
        <v>28440.57</v>
      </c>
      <c r="F6" s="53">
        <v>44286</v>
      </c>
      <c r="G6" s="46"/>
    </row>
    <row r="7" spans="1:7" x14ac:dyDescent="0.25">
      <c r="A7" s="49">
        <v>5</v>
      </c>
      <c r="B7" s="50" t="s">
        <v>39</v>
      </c>
      <c r="C7" s="51" t="s">
        <v>127</v>
      </c>
      <c r="D7" s="51">
        <v>0.01</v>
      </c>
      <c r="E7" s="52">
        <v>37415.4</v>
      </c>
      <c r="F7" s="53">
        <v>44469</v>
      </c>
    </row>
    <row r="8" spans="1:7" x14ac:dyDescent="0.25">
      <c r="A8" s="54">
        <v>6</v>
      </c>
      <c r="B8" s="50" t="s">
        <v>40</v>
      </c>
      <c r="C8" s="51" t="s">
        <v>9</v>
      </c>
      <c r="D8" s="51">
        <v>0.01</v>
      </c>
      <c r="E8" s="52">
        <v>31746.400000000001</v>
      </c>
      <c r="F8" s="53">
        <v>44500</v>
      </c>
    </row>
    <row r="9" spans="1:7" x14ac:dyDescent="0.25">
      <c r="A9" s="49">
        <v>7</v>
      </c>
      <c r="B9" s="50" t="s">
        <v>41</v>
      </c>
      <c r="C9" s="51" t="s">
        <v>124</v>
      </c>
      <c r="D9" s="51">
        <v>0.01</v>
      </c>
      <c r="E9" s="52">
        <v>97770.45</v>
      </c>
      <c r="F9" s="53">
        <v>44012</v>
      </c>
    </row>
    <row r="10" spans="1:7" x14ac:dyDescent="0.25">
      <c r="A10" s="54">
        <v>8</v>
      </c>
      <c r="B10" s="50" t="s">
        <v>42</v>
      </c>
      <c r="C10" s="51" t="s">
        <v>9</v>
      </c>
      <c r="D10" s="51">
        <v>0.01</v>
      </c>
      <c r="E10" s="52">
        <v>169024.01608333335</v>
      </c>
      <c r="F10" s="53">
        <v>44742</v>
      </c>
    </row>
    <row r="11" spans="1:7" x14ac:dyDescent="0.25">
      <c r="A11" s="49">
        <v>9</v>
      </c>
      <c r="B11" s="50" t="s">
        <v>43</v>
      </c>
      <c r="C11" s="51" t="s">
        <v>127</v>
      </c>
      <c r="D11" s="51">
        <v>0.01</v>
      </c>
      <c r="E11" s="52">
        <v>353281.17</v>
      </c>
      <c r="F11" s="53">
        <v>44773</v>
      </c>
    </row>
    <row r="12" spans="1:7" x14ac:dyDescent="0.25">
      <c r="A12" s="54">
        <v>10</v>
      </c>
      <c r="B12" s="50" t="s">
        <v>44</v>
      </c>
      <c r="C12" s="51" t="s">
        <v>124</v>
      </c>
      <c r="D12" s="51">
        <v>0.01</v>
      </c>
      <c r="E12" s="52">
        <v>166035.88</v>
      </c>
      <c r="F12" s="53">
        <v>44957</v>
      </c>
    </row>
    <row r="13" spans="1:7" x14ac:dyDescent="0.25">
      <c r="A13" s="49">
        <v>11</v>
      </c>
      <c r="B13" s="50" t="s">
        <v>45</v>
      </c>
      <c r="C13" s="51" t="s">
        <v>9</v>
      </c>
      <c r="D13" s="51">
        <v>2.0210698856246136E-2</v>
      </c>
      <c r="E13" s="52">
        <v>51706.59</v>
      </c>
      <c r="F13" s="53">
        <v>44592</v>
      </c>
    </row>
    <row r="14" spans="1:7" s="17" customFormat="1" x14ac:dyDescent="0.25">
      <c r="A14" s="54">
        <v>12</v>
      </c>
      <c r="B14" s="50" t="s">
        <v>0</v>
      </c>
      <c r="C14" s="51" t="s">
        <v>9</v>
      </c>
      <c r="D14" s="51">
        <v>0.01</v>
      </c>
      <c r="E14" s="52">
        <v>122085.56</v>
      </c>
      <c r="F14" s="53">
        <v>44316</v>
      </c>
      <c r="G14" s="69"/>
    </row>
    <row r="15" spans="1:7" s="17" customFormat="1" x14ac:dyDescent="0.25">
      <c r="A15" s="49">
        <v>13</v>
      </c>
      <c r="B15" s="50" t="s">
        <v>1</v>
      </c>
      <c r="C15" s="51" t="s">
        <v>9</v>
      </c>
      <c r="D15" s="51">
        <v>0.01</v>
      </c>
      <c r="E15" s="52">
        <v>64186.64</v>
      </c>
      <c r="F15" s="53">
        <v>44196</v>
      </c>
      <c r="G15" s="69"/>
    </row>
    <row r="16" spans="1:7" x14ac:dyDescent="0.25">
      <c r="A16" s="54">
        <v>14</v>
      </c>
      <c r="B16" s="50" t="s">
        <v>46</v>
      </c>
      <c r="C16" s="51" t="s">
        <v>9</v>
      </c>
      <c r="D16" s="51">
        <v>0.01</v>
      </c>
      <c r="E16" s="52">
        <v>18304.96</v>
      </c>
      <c r="F16" s="53">
        <v>44012</v>
      </c>
    </row>
    <row r="17" spans="1:7" x14ac:dyDescent="0.25">
      <c r="A17" s="49">
        <v>15</v>
      </c>
      <c r="B17" s="50" t="s">
        <v>47</v>
      </c>
      <c r="C17" s="51" t="s">
        <v>9</v>
      </c>
      <c r="D17" s="51">
        <v>1.09E-2</v>
      </c>
      <c r="E17" s="52">
        <v>696857.83</v>
      </c>
      <c r="F17" s="53">
        <v>44347</v>
      </c>
    </row>
    <row r="18" spans="1:7" x14ac:dyDescent="0.25">
      <c r="A18" s="54">
        <v>16</v>
      </c>
      <c r="B18" s="50" t="s">
        <v>48</v>
      </c>
      <c r="C18" s="51" t="s">
        <v>9</v>
      </c>
      <c r="D18" s="51">
        <v>3.1600000000000003E-2</v>
      </c>
      <c r="E18" s="52">
        <v>126737.37</v>
      </c>
      <c r="F18" s="53">
        <v>45657</v>
      </c>
    </row>
    <row r="19" spans="1:7" x14ac:dyDescent="0.25">
      <c r="A19" s="60">
        <v>17</v>
      </c>
      <c r="B19" s="56" t="s">
        <v>92</v>
      </c>
      <c r="C19" s="57" t="s">
        <v>127</v>
      </c>
      <c r="D19" s="57">
        <v>1.7299999999999999E-2</v>
      </c>
      <c r="E19" s="58">
        <v>1039040.53</v>
      </c>
      <c r="F19" s="59">
        <v>45657</v>
      </c>
    </row>
    <row r="20" spans="1:7" s="17" customFormat="1" x14ac:dyDescent="0.25">
      <c r="A20" s="54">
        <v>18</v>
      </c>
      <c r="B20" s="50" t="s">
        <v>2</v>
      </c>
      <c r="C20" s="51" t="s">
        <v>9</v>
      </c>
      <c r="D20" s="51">
        <v>1.17E-2</v>
      </c>
      <c r="E20" s="52">
        <v>44039.360000000001</v>
      </c>
      <c r="F20" s="53">
        <v>44377</v>
      </c>
      <c r="G20" s="69"/>
    </row>
    <row r="21" spans="1:7" x14ac:dyDescent="0.25">
      <c r="A21" s="49">
        <v>19</v>
      </c>
      <c r="B21" s="50" t="s">
        <v>49</v>
      </c>
      <c r="C21" s="51" t="s">
        <v>124</v>
      </c>
      <c r="D21" s="51">
        <v>1.29E-2</v>
      </c>
      <c r="E21" s="52">
        <v>21266.37</v>
      </c>
      <c r="F21" s="53">
        <v>45260</v>
      </c>
    </row>
    <row r="22" spans="1:7" x14ac:dyDescent="0.25">
      <c r="A22" s="55">
        <v>20</v>
      </c>
      <c r="B22" s="56" t="s">
        <v>93</v>
      </c>
      <c r="C22" s="57" t="s">
        <v>127</v>
      </c>
      <c r="D22" s="57">
        <v>1.3100000000000001E-2</v>
      </c>
      <c r="E22" s="58">
        <v>27115157.647166666</v>
      </c>
      <c r="F22" s="59">
        <v>45657</v>
      </c>
    </row>
    <row r="23" spans="1:7" x14ac:dyDescent="0.25">
      <c r="A23" s="49">
        <v>21</v>
      </c>
      <c r="B23" s="50" t="s">
        <v>50</v>
      </c>
      <c r="C23" s="51" t="s">
        <v>9</v>
      </c>
      <c r="D23" s="51">
        <v>1.4500000000000001E-2</v>
      </c>
      <c r="E23" s="52">
        <v>2154251.1891702907</v>
      </c>
      <c r="F23" s="53">
        <v>44957</v>
      </c>
    </row>
    <row r="24" spans="1:7" x14ac:dyDescent="0.25">
      <c r="A24" s="54">
        <v>22</v>
      </c>
      <c r="B24" s="50" t="s">
        <v>51</v>
      </c>
      <c r="C24" s="51" t="s">
        <v>9</v>
      </c>
      <c r="D24" s="51">
        <v>0.01</v>
      </c>
      <c r="E24" s="52">
        <v>25553.16</v>
      </c>
      <c r="F24" s="53">
        <v>44712</v>
      </c>
    </row>
    <row r="25" spans="1:7" x14ac:dyDescent="0.25">
      <c r="A25" s="49">
        <v>23</v>
      </c>
      <c r="B25" s="50" t="s">
        <v>52</v>
      </c>
      <c r="C25" s="51" t="s">
        <v>9</v>
      </c>
      <c r="D25" s="51">
        <v>0.01</v>
      </c>
      <c r="E25" s="52">
        <v>147343.5</v>
      </c>
      <c r="F25" s="53">
        <v>44561</v>
      </c>
    </row>
    <row r="26" spans="1:7" x14ac:dyDescent="0.25">
      <c r="A26" s="54">
        <v>24</v>
      </c>
      <c r="B26" s="50" t="s">
        <v>53</v>
      </c>
      <c r="C26" s="51" t="s">
        <v>9</v>
      </c>
      <c r="D26" s="51">
        <v>1.7500000000000002E-2</v>
      </c>
      <c r="E26" s="52">
        <v>82311.77</v>
      </c>
      <c r="F26" s="53">
        <v>44104</v>
      </c>
    </row>
    <row r="27" spans="1:7" x14ac:dyDescent="0.25">
      <c r="A27" s="49">
        <v>25</v>
      </c>
      <c r="B27" s="50" t="s">
        <v>54</v>
      </c>
      <c r="C27" s="51" t="s">
        <v>9</v>
      </c>
      <c r="D27" s="51">
        <v>1.66E-2</v>
      </c>
      <c r="E27" s="52">
        <v>213529.33</v>
      </c>
      <c r="F27" s="53">
        <v>44927</v>
      </c>
    </row>
    <row r="28" spans="1:7" x14ac:dyDescent="0.25">
      <c r="A28" s="54">
        <v>26</v>
      </c>
      <c r="B28" s="50" t="s">
        <v>55</v>
      </c>
      <c r="C28" s="51" t="s">
        <v>9</v>
      </c>
      <c r="D28" s="51">
        <v>1.5599999999999999E-2</v>
      </c>
      <c r="E28" s="52">
        <v>17623.84</v>
      </c>
      <c r="F28" s="53">
        <v>44135</v>
      </c>
    </row>
    <row r="29" spans="1:7" x14ac:dyDescent="0.25">
      <c r="A29" s="49">
        <v>27</v>
      </c>
      <c r="B29" s="50" t="s">
        <v>56</v>
      </c>
      <c r="C29" s="51" t="s">
        <v>9</v>
      </c>
      <c r="D29" s="51">
        <v>1.0999999999999999E-2</v>
      </c>
      <c r="E29" s="52">
        <v>65337.86</v>
      </c>
      <c r="F29" s="53">
        <v>44865</v>
      </c>
    </row>
    <row r="30" spans="1:7" x14ac:dyDescent="0.25">
      <c r="A30" s="54">
        <v>28</v>
      </c>
      <c r="B30" s="50" t="s">
        <v>57</v>
      </c>
      <c r="C30" s="51" t="s">
        <v>9</v>
      </c>
      <c r="D30" s="51">
        <v>1.2800000000000001E-2</v>
      </c>
      <c r="E30" s="52">
        <v>34498.51</v>
      </c>
      <c r="F30" s="53">
        <v>44561</v>
      </c>
    </row>
    <row r="31" spans="1:7" x14ac:dyDescent="0.25">
      <c r="A31" s="49">
        <v>29</v>
      </c>
      <c r="B31" s="50" t="s">
        <v>58</v>
      </c>
      <c r="C31" s="51" t="s">
        <v>9</v>
      </c>
      <c r="D31" s="51">
        <v>1.89E-2</v>
      </c>
      <c r="E31" s="52">
        <v>101602.42</v>
      </c>
      <c r="F31" s="53">
        <v>45382</v>
      </c>
    </row>
    <row r="32" spans="1:7" x14ac:dyDescent="0.25">
      <c r="A32" s="54">
        <v>30</v>
      </c>
      <c r="B32" s="50" t="s">
        <v>59</v>
      </c>
      <c r="C32" s="51" t="s">
        <v>9</v>
      </c>
      <c r="D32" s="51">
        <v>1.2800000000000001E-2</v>
      </c>
      <c r="E32" s="52">
        <v>572228.73</v>
      </c>
      <c r="F32" s="53">
        <v>44227</v>
      </c>
    </row>
    <row r="33" spans="1:7" x14ac:dyDescent="0.25">
      <c r="A33" s="49">
        <v>31</v>
      </c>
      <c r="B33" s="50" t="s">
        <v>60</v>
      </c>
      <c r="C33" s="51" t="s">
        <v>9</v>
      </c>
      <c r="D33" s="51">
        <v>3.4799999999999998E-2</v>
      </c>
      <c r="E33" s="52">
        <v>139653.29970007084</v>
      </c>
      <c r="F33" s="53">
        <v>44895</v>
      </c>
    </row>
    <row r="34" spans="1:7" x14ac:dyDescent="0.25">
      <c r="A34" s="54">
        <v>32</v>
      </c>
      <c r="B34" s="50" t="s">
        <v>61</v>
      </c>
      <c r="C34" s="51" t="s">
        <v>9</v>
      </c>
      <c r="D34" s="51">
        <v>0.01</v>
      </c>
      <c r="E34" s="52">
        <v>26769.633783333335</v>
      </c>
      <c r="F34" s="53">
        <v>44074</v>
      </c>
    </row>
    <row r="35" spans="1:7" x14ac:dyDescent="0.25">
      <c r="A35" s="49">
        <v>33</v>
      </c>
      <c r="B35" s="50" t="s">
        <v>62</v>
      </c>
      <c r="C35" s="51" t="s">
        <v>9</v>
      </c>
      <c r="D35" s="51">
        <v>0.01</v>
      </c>
      <c r="E35" s="52">
        <v>21891.09</v>
      </c>
      <c r="F35" s="53">
        <v>44926</v>
      </c>
    </row>
    <row r="36" spans="1:7" x14ac:dyDescent="0.25">
      <c r="A36" s="54">
        <v>34</v>
      </c>
      <c r="B36" s="50" t="s">
        <v>63</v>
      </c>
      <c r="C36" s="51" t="s">
        <v>9</v>
      </c>
      <c r="D36" s="51">
        <v>0.01</v>
      </c>
      <c r="E36" s="52">
        <v>67362.990000000005</v>
      </c>
      <c r="F36" s="53">
        <v>45260</v>
      </c>
    </row>
    <row r="37" spans="1:7" x14ac:dyDescent="0.25">
      <c r="A37" s="49">
        <v>35</v>
      </c>
      <c r="B37" s="50" t="s">
        <v>64</v>
      </c>
      <c r="C37" s="51" t="s">
        <v>9</v>
      </c>
      <c r="D37" s="51">
        <v>0.01</v>
      </c>
      <c r="E37" s="52">
        <v>25426.527900000001</v>
      </c>
      <c r="F37" s="53">
        <v>44500</v>
      </c>
    </row>
    <row r="38" spans="1:7" x14ac:dyDescent="0.25">
      <c r="A38" s="54">
        <v>36</v>
      </c>
      <c r="B38" s="50" t="s">
        <v>65</v>
      </c>
      <c r="C38" s="51" t="s">
        <v>9</v>
      </c>
      <c r="D38" s="51">
        <v>1.35E-2</v>
      </c>
      <c r="E38" s="52">
        <v>70349.600205214258</v>
      </c>
      <c r="F38" s="53">
        <v>44500</v>
      </c>
    </row>
    <row r="39" spans="1:7" x14ac:dyDescent="0.25">
      <c r="A39" s="49">
        <v>37</v>
      </c>
      <c r="B39" s="50" t="s">
        <v>66</v>
      </c>
      <c r="C39" s="51" t="s">
        <v>9</v>
      </c>
      <c r="D39" s="51">
        <v>0.01</v>
      </c>
      <c r="E39" s="52">
        <v>63428.61</v>
      </c>
      <c r="F39" s="53">
        <v>44651</v>
      </c>
    </row>
    <row r="40" spans="1:7" x14ac:dyDescent="0.25">
      <c r="A40" s="54">
        <v>38</v>
      </c>
      <c r="B40" s="50" t="s">
        <v>67</v>
      </c>
      <c r="C40" s="51" t="s">
        <v>9</v>
      </c>
      <c r="D40" s="51">
        <v>1.2800000000000001E-2</v>
      </c>
      <c r="E40" s="52">
        <v>70664.55</v>
      </c>
      <c r="F40" s="53">
        <v>43951</v>
      </c>
    </row>
    <row r="41" spans="1:7" s="17" customFormat="1" x14ac:dyDescent="0.25">
      <c r="A41" s="49">
        <v>39</v>
      </c>
      <c r="B41" s="50" t="s">
        <v>24</v>
      </c>
      <c r="C41" s="51" t="s">
        <v>9</v>
      </c>
      <c r="D41" s="51">
        <v>1.2500000000000001E-2</v>
      </c>
      <c r="E41" s="52">
        <v>15708.18</v>
      </c>
      <c r="F41" s="53">
        <v>44227</v>
      </c>
      <c r="G41" s="69"/>
    </row>
    <row r="42" spans="1:7" x14ac:dyDescent="0.25">
      <c r="A42" s="54">
        <v>40</v>
      </c>
      <c r="B42" s="50" t="s">
        <v>69</v>
      </c>
      <c r="C42" s="51" t="s">
        <v>127</v>
      </c>
      <c r="D42" s="51">
        <v>0.01</v>
      </c>
      <c r="E42" s="52">
        <v>58301.859875000002</v>
      </c>
      <c r="F42" s="53">
        <v>44135</v>
      </c>
    </row>
    <row r="43" spans="1:7" x14ac:dyDescent="0.25">
      <c r="A43" s="49">
        <v>41</v>
      </c>
      <c r="B43" s="50" t="s">
        <v>70</v>
      </c>
      <c r="C43" s="51" t="s">
        <v>9</v>
      </c>
      <c r="D43" s="51">
        <v>1.8499999999999999E-2</v>
      </c>
      <c r="E43" s="52">
        <v>50728.1</v>
      </c>
      <c r="F43" s="53">
        <v>45657</v>
      </c>
    </row>
    <row r="44" spans="1:7" s="17" customFormat="1" x14ac:dyDescent="0.25">
      <c r="A44" s="54">
        <v>42</v>
      </c>
      <c r="B44" s="50" t="s">
        <v>3</v>
      </c>
      <c r="C44" s="51" t="s">
        <v>9</v>
      </c>
      <c r="D44" s="51">
        <v>0.01</v>
      </c>
      <c r="E44" s="52">
        <v>20920.375416666669</v>
      </c>
      <c r="F44" s="53">
        <v>45260</v>
      </c>
      <c r="G44" s="69"/>
    </row>
    <row r="45" spans="1:7" x14ac:dyDescent="0.25">
      <c r="A45" s="49">
        <v>43</v>
      </c>
      <c r="B45" s="50" t="s">
        <v>71</v>
      </c>
      <c r="C45" s="51" t="s">
        <v>9</v>
      </c>
      <c r="D45" s="51">
        <v>3.1600000000000003E-2</v>
      </c>
      <c r="E45" s="52">
        <v>45762.400000000001</v>
      </c>
      <c r="F45" s="53">
        <v>44377</v>
      </c>
    </row>
    <row r="46" spans="1:7" x14ac:dyDescent="0.25">
      <c r="A46" s="54">
        <v>44</v>
      </c>
      <c r="B46" s="50" t="s">
        <v>72</v>
      </c>
      <c r="C46" s="51" t="s">
        <v>9</v>
      </c>
      <c r="D46" s="51">
        <v>3.09E-2</v>
      </c>
      <c r="E46" s="52">
        <v>128872.41441021924</v>
      </c>
      <c r="F46" s="53">
        <v>44165</v>
      </c>
    </row>
    <row r="47" spans="1:7" x14ac:dyDescent="0.25">
      <c r="A47" s="49">
        <v>45</v>
      </c>
      <c r="B47" s="50" t="s">
        <v>73</v>
      </c>
      <c r="C47" s="51" t="s">
        <v>9</v>
      </c>
      <c r="D47" s="51">
        <v>0.01</v>
      </c>
      <c r="E47" s="52">
        <v>20966.740000000002</v>
      </c>
      <c r="F47" s="53">
        <v>44377</v>
      </c>
    </row>
    <row r="48" spans="1:7" x14ac:dyDescent="0.25">
      <c r="A48" s="54">
        <v>46</v>
      </c>
      <c r="B48" s="50" t="s">
        <v>74</v>
      </c>
      <c r="C48" s="51" t="s">
        <v>9</v>
      </c>
      <c r="D48" s="51">
        <v>0.01</v>
      </c>
      <c r="E48" s="52">
        <v>23765.32</v>
      </c>
      <c r="F48" s="53">
        <v>44227</v>
      </c>
    </row>
    <row r="49" spans="1:7" s="17" customFormat="1" x14ac:dyDescent="0.25">
      <c r="A49" s="49">
        <v>47</v>
      </c>
      <c r="B49" s="50" t="s">
        <v>8</v>
      </c>
      <c r="C49" s="51" t="s">
        <v>9</v>
      </c>
      <c r="D49" s="51">
        <v>1.06E-2</v>
      </c>
      <c r="E49" s="52">
        <v>231599.04</v>
      </c>
      <c r="F49" s="53">
        <v>44074</v>
      </c>
      <c r="G49" s="69"/>
    </row>
    <row r="50" spans="1:7" x14ac:dyDescent="0.25">
      <c r="A50" s="54">
        <v>48</v>
      </c>
      <c r="B50" s="50" t="s">
        <v>75</v>
      </c>
      <c r="C50" s="51" t="s">
        <v>9</v>
      </c>
      <c r="D50" s="51">
        <v>0.01</v>
      </c>
      <c r="E50" s="52">
        <v>78129.293024999992</v>
      </c>
      <c r="F50" s="53">
        <v>44074</v>
      </c>
    </row>
    <row r="51" spans="1:7" x14ac:dyDescent="0.25">
      <c r="A51" s="49">
        <v>49</v>
      </c>
      <c r="B51" s="50" t="s">
        <v>76</v>
      </c>
      <c r="C51" s="51" t="s">
        <v>9</v>
      </c>
      <c r="D51" s="51">
        <v>0.01</v>
      </c>
      <c r="E51" s="52">
        <v>20127.981958333337</v>
      </c>
      <c r="F51" s="53">
        <v>44043</v>
      </c>
    </row>
    <row r="52" spans="1:7" x14ac:dyDescent="0.25">
      <c r="A52" s="54">
        <v>50</v>
      </c>
      <c r="B52" s="50" t="s">
        <v>77</v>
      </c>
      <c r="C52" s="51" t="s">
        <v>9</v>
      </c>
      <c r="D52" s="51">
        <v>0.01</v>
      </c>
      <c r="E52" s="52">
        <v>564032.7953916667</v>
      </c>
      <c r="F52" s="53">
        <v>45473</v>
      </c>
    </row>
    <row r="53" spans="1:7" x14ac:dyDescent="0.25">
      <c r="A53" s="49">
        <v>51</v>
      </c>
      <c r="B53" s="50" t="s">
        <v>78</v>
      </c>
      <c r="C53" s="51" t="s">
        <v>9</v>
      </c>
      <c r="D53" s="51">
        <v>1.47E-2</v>
      </c>
      <c r="E53" s="52">
        <v>26458.821513249997</v>
      </c>
      <c r="F53" s="53">
        <v>45596</v>
      </c>
    </row>
    <row r="54" spans="1:7" x14ac:dyDescent="0.25">
      <c r="A54" s="54">
        <v>52</v>
      </c>
      <c r="B54" s="50" t="s">
        <v>79</v>
      </c>
      <c r="C54" s="51" t="s">
        <v>9</v>
      </c>
      <c r="D54" s="51">
        <v>2.4E-2</v>
      </c>
      <c r="E54" s="52">
        <v>164914.07796</v>
      </c>
      <c r="F54" s="53">
        <v>44316</v>
      </c>
    </row>
    <row r="55" spans="1:7" s="17" customFormat="1" x14ac:dyDescent="0.25">
      <c r="A55" s="49">
        <v>53</v>
      </c>
      <c r="B55" s="50" t="s">
        <v>4</v>
      </c>
      <c r="C55" s="51" t="s">
        <v>9</v>
      </c>
      <c r="D55" s="51">
        <v>1.9099999999999999E-2</v>
      </c>
      <c r="E55" s="52">
        <v>63422.94</v>
      </c>
      <c r="F55" s="53">
        <v>44196</v>
      </c>
      <c r="G55" s="69"/>
    </row>
    <row r="56" spans="1:7" s="17" customFormat="1" x14ac:dyDescent="0.25">
      <c r="A56" s="54">
        <v>54</v>
      </c>
      <c r="B56" s="50" t="s">
        <v>5</v>
      </c>
      <c r="C56" s="51" t="s">
        <v>9</v>
      </c>
      <c r="D56" s="51">
        <v>1.54E-2</v>
      </c>
      <c r="E56" s="52">
        <v>75469.39</v>
      </c>
      <c r="F56" s="53">
        <v>45657</v>
      </c>
      <c r="G56" s="71"/>
    </row>
    <row r="57" spans="1:7" s="17" customFormat="1" x14ac:dyDescent="0.25">
      <c r="A57" s="49">
        <v>55</v>
      </c>
      <c r="B57" s="50" t="s">
        <v>6</v>
      </c>
      <c r="C57" s="51" t="s">
        <v>9</v>
      </c>
      <c r="D57" s="51">
        <v>2.4199999999999999E-2</v>
      </c>
      <c r="E57" s="52">
        <v>40104.729833333331</v>
      </c>
      <c r="F57" s="53">
        <v>45657</v>
      </c>
      <c r="G57" s="69"/>
    </row>
    <row r="58" spans="1:7" x14ac:dyDescent="0.25">
      <c r="A58" s="54">
        <v>56</v>
      </c>
      <c r="B58" s="50" t="s">
        <v>80</v>
      </c>
      <c r="C58" s="51" t="s">
        <v>9</v>
      </c>
      <c r="D58" s="51">
        <v>0.01</v>
      </c>
      <c r="E58" s="52">
        <v>69220.179999999993</v>
      </c>
      <c r="F58" s="53">
        <v>44712</v>
      </c>
    </row>
    <row r="59" spans="1:7" x14ac:dyDescent="0.25">
      <c r="A59" s="49">
        <v>57</v>
      </c>
      <c r="B59" s="50" t="s">
        <v>81</v>
      </c>
      <c r="C59" s="51" t="s">
        <v>9</v>
      </c>
      <c r="D59" s="51">
        <v>3.6900000000000002E-2</v>
      </c>
      <c r="E59" s="52">
        <v>831648.89</v>
      </c>
      <c r="F59" s="53">
        <v>44651</v>
      </c>
    </row>
    <row r="60" spans="1:7" x14ac:dyDescent="0.25">
      <c r="A60" s="54">
        <v>58</v>
      </c>
      <c r="B60" s="50" t="s">
        <v>82</v>
      </c>
      <c r="C60" s="51" t="s">
        <v>9</v>
      </c>
      <c r="D60" s="51">
        <v>2.3E-2</v>
      </c>
      <c r="E60" s="52">
        <v>142338.26</v>
      </c>
      <c r="F60" s="53">
        <v>44681</v>
      </c>
    </row>
    <row r="61" spans="1:7" s="45" customFormat="1" ht="12" x14ac:dyDescent="0.2">
      <c r="A61" s="72" t="s">
        <v>128</v>
      </c>
      <c r="B61" s="73"/>
      <c r="C61" s="74"/>
      <c r="D61" s="74"/>
      <c r="E61" s="72"/>
      <c r="F61" s="74"/>
      <c r="G61" s="73"/>
    </row>
    <row r="62" spans="1:7" s="45" customFormat="1" ht="12" x14ac:dyDescent="0.2">
      <c r="A62" s="72" t="s">
        <v>95</v>
      </c>
      <c r="B62" s="73"/>
      <c r="C62" s="74"/>
      <c r="D62" s="74"/>
      <c r="E62" s="72"/>
      <c r="F62" s="74"/>
      <c r="G62" s="73"/>
    </row>
    <row r="63" spans="1:7" s="45" customFormat="1" ht="12" x14ac:dyDescent="0.2">
      <c r="A63" s="72" t="s">
        <v>96</v>
      </c>
      <c r="B63" s="73"/>
      <c r="C63" s="74"/>
      <c r="D63" s="74"/>
      <c r="E63" s="72"/>
      <c r="F63" s="74"/>
      <c r="G63" s="73"/>
    </row>
    <row r="64" spans="1:7" s="45" customFormat="1" ht="12" x14ac:dyDescent="0.2">
      <c r="A64" s="72" t="s">
        <v>122</v>
      </c>
      <c r="B64" s="73"/>
      <c r="C64" s="74"/>
      <c r="D64" s="74"/>
      <c r="E64" s="72"/>
      <c r="F64" s="74"/>
      <c r="G64" s="73"/>
    </row>
    <row r="65" spans="1:7" s="45" customFormat="1" ht="12" x14ac:dyDescent="0.2">
      <c r="A65" s="73"/>
      <c r="B65" s="72"/>
      <c r="C65" s="74"/>
      <c r="D65" s="74"/>
      <c r="E65" s="72"/>
      <c r="F65" s="74"/>
      <c r="G65" s="73"/>
    </row>
    <row r="66" spans="1:7" x14ac:dyDescent="0.25">
      <c r="B66" s="68"/>
      <c r="C66" s="68"/>
      <c r="D66" s="68"/>
    </row>
    <row r="67" spans="1:7" x14ac:dyDescent="0.25">
      <c r="B67" s="68"/>
      <c r="C67" s="68"/>
      <c r="D67" s="68"/>
    </row>
  </sheetData>
  <mergeCells count="1">
    <mergeCell ref="A1:F1"/>
  </mergeCells>
  <conditionalFormatting sqref="G6 B3:E60">
    <cfRule type="expression" dxfId="44" priority="22">
      <formula>#REF!="Revisar"</formula>
    </cfRule>
    <cfRule type="expression" dxfId="43" priority="23">
      <formula>#REF!="OK"</formula>
    </cfRule>
    <cfRule type="expression" dxfId="42" priority="24">
      <formula>#REF!="Atualizar"</formula>
    </cfRule>
  </conditionalFormatting>
  <conditionalFormatting sqref="F5:F60">
    <cfRule type="expression" dxfId="41" priority="10">
      <formula>#REF!="Revisar"</formula>
    </cfRule>
    <cfRule type="expression" dxfId="40" priority="11">
      <formula>#REF!="OK"</formula>
    </cfRule>
    <cfRule type="expression" dxfId="39" priority="12">
      <formula>#REF!="Atualizar"</formula>
    </cfRule>
  </conditionalFormatting>
  <conditionalFormatting sqref="A7:A60">
    <cfRule type="expression" dxfId="38" priority="4">
      <formula>#REF!="Revisar"</formula>
    </cfRule>
    <cfRule type="expression" dxfId="37" priority="5">
      <formula>#REF!="OK"</formula>
    </cfRule>
    <cfRule type="expression" dxfId="36" priority="6">
      <formula>#REF!="Atualizar"</formula>
    </cfRule>
  </conditionalFormatting>
  <conditionalFormatting sqref="A3:A6">
    <cfRule type="expression" dxfId="35" priority="7">
      <formula>#REF!="Revisar"</formula>
    </cfRule>
    <cfRule type="expression" dxfId="34" priority="8">
      <formula>#REF!="OK"</formula>
    </cfRule>
    <cfRule type="expression" dxfId="33" priority="9">
      <formula>#REF!="Atualizar"</formula>
    </cfRule>
  </conditionalFormatting>
  <conditionalFormatting sqref="F3:F4">
    <cfRule type="expression" dxfId="32" priority="1">
      <formula>#REF!="Revisar"</formula>
    </cfRule>
    <cfRule type="expression" dxfId="31" priority="2">
      <formula>#REF!="OK"</formula>
    </cfRule>
    <cfRule type="expression" dxfId="30" priority="3">
      <formula>#REF!="Atualizar"</formula>
    </cfRule>
  </conditionalFormatting>
  <printOptions horizontalCentered="1"/>
  <pageMargins left="0.39370078740157483" right="0.39370078740157483" top="0.39370078740157483" bottom="0.39370078740157483" header="0" footer="0"/>
  <pageSetup paperSize="9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79"/>
  <sheetViews>
    <sheetView workbookViewId="0">
      <pane ySplit="2" topLeftCell="A3" activePane="bottomLeft" state="frozen"/>
      <selection pane="bottomLeft" activeCell="C6" sqref="C6"/>
    </sheetView>
  </sheetViews>
  <sheetFormatPr defaultRowHeight="15.75" x14ac:dyDescent="0.25"/>
  <cols>
    <col min="1" max="1" width="10.42578125" style="6" customWidth="1"/>
    <col min="2" max="2" width="25.140625" style="10" customWidth="1"/>
    <col min="3" max="3" width="16.5703125" style="16" bestFit="1" customWidth="1"/>
    <col min="4" max="4" width="20.28515625" style="10" bestFit="1" customWidth="1"/>
    <col min="5" max="5" width="15.28515625" style="16" bestFit="1" customWidth="1"/>
    <col min="6" max="6" width="11.42578125" style="16" customWidth="1"/>
    <col min="7" max="7" width="17.7109375" style="10" customWidth="1"/>
    <col min="8" max="8" width="22.42578125" style="10" bestFit="1" customWidth="1"/>
    <col min="9" max="9" width="23.5703125" style="16" bestFit="1" customWidth="1"/>
    <col min="10" max="10" width="24.85546875" style="6" customWidth="1"/>
    <col min="11" max="11" width="7.7109375" style="6" customWidth="1"/>
    <col min="12" max="13" width="12.140625" style="6" customWidth="1"/>
    <col min="14" max="16384" width="9.140625" style="6"/>
  </cols>
  <sheetData>
    <row r="1" spans="1:13" x14ac:dyDescent="0.25">
      <c r="B1" s="90" t="s">
        <v>12</v>
      </c>
      <c r="C1" s="90"/>
      <c r="D1" s="90"/>
      <c r="E1" s="90"/>
      <c r="F1" s="90"/>
      <c r="G1" s="90"/>
      <c r="H1" s="90"/>
      <c r="I1" s="90"/>
      <c r="J1" s="90"/>
      <c r="L1" s="11" t="s">
        <v>25</v>
      </c>
      <c r="M1" s="12">
        <v>43465</v>
      </c>
    </row>
    <row r="2" spans="1:13" s="8" customFormat="1" ht="45" x14ac:dyDescent="0.25">
      <c r="A2" s="18"/>
      <c r="B2" s="7" t="s">
        <v>11</v>
      </c>
      <c r="C2" s="7" t="s">
        <v>10</v>
      </c>
      <c r="D2" s="7" t="s">
        <v>17</v>
      </c>
      <c r="E2" s="7" t="s">
        <v>13</v>
      </c>
      <c r="F2" s="7" t="s">
        <v>103</v>
      </c>
      <c r="G2" s="7" t="s">
        <v>18</v>
      </c>
      <c r="H2" s="7" t="s">
        <v>14</v>
      </c>
      <c r="I2" s="7" t="s">
        <v>23</v>
      </c>
      <c r="J2" s="7" t="s">
        <v>22</v>
      </c>
      <c r="L2" s="13" t="s">
        <v>26</v>
      </c>
      <c r="M2" s="14">
        <v>45657</v>
      </c>
    </row>
    <row r="3" spans="1:13" x14ac:dyDescent="0.25">
      <c r="A3" s="18" t="s">
        <v>28</v>
      </c>
      <c r="B3" s="19" t="s">
        <v>35</v>
      </c>
      <c r="C3" s="20" t="s">
        <v>9</v>
      </c>
      <c r="D3" s="21">
        <v>2.5999999999999999E-3</v>
      </c>
      <c r="E3" s="21">
        <v>5.7000000000000002E-3</v>
      </c>
      <c r="F3" s="21"/>
      <c r="G3" s="21">
        <f t="shared" ref="G3:G19" si="0">IF(F3&lt;&gt;"",F3,IF(AND(D3&lt;&gt;"",E3&lt;&gt;""),MAX(D3,E3),""))</f>
        <v>5.7000000000000002E-3</v>
      </c>
      <c r="H3" s="22">
        <v>27775.86</v>
      </c>
      <c r="I3" s="22">
        <v>918985.45</v>
      </c>
      <c r="J3" s="29">
        <f t="shared" ref="J3:J34" si="1">IF(OR(G3="",H3="",I3=""),"",EDATE($M$1,ROUND(I3/H3,0)))</f>
        <v>44469</v>
      </c>
      <c r="L3" s="35" t="s">
        <v>28</v>
      </c>
      <c r="M3" s="11"/>
    </row>
    <row r="4" spans="1:13" x14ac:dyDescent="0.25">
      <c r="A4" s="18" t="s">
        <v>29</v>
      </c>
      <c r="B4" s="19" t="s">
        <v>36</v>
      </c>
      <c r="C4" s="20" t="s">
        <v>9</v>
      </c>
      <c r="D4" s="21">
        <v>2.9999999999999997E-4</v>
      </c>
      <c r="E4" s="21">
        <v>1.2999999999999999E-3</v>
      </c>
      <c r="F4" s="21"/>
      <c r="G4" s="21">
        <f t="shared" si="0"/>
        <v>1.2999999999999999E-3</v>
      </c>
      <c r="H4" s="22">
        <v>2622.92</v>
      </c>
      <c r="I4" s="22">
        <v>33691.799999999996</v>
      </c>
      <c r="J4" s="29">
        <f t="shared" si="1"/>
        <v>43861</v>
      </c>
      <c r="L4" s="36" t="s">
        <v>29</v>
      </c>
      <c r="M4" s="11"/>
    </row>
    <row r="5" spans="1:13" x14ac:dyDescent="0.25">
      <c r="A5" s="18" t="s">
        <v>28</v>
      </c>
      <c r="B5" s="19" t="s">
        <v>37</v>
      </c>
      <c r="C5" s="20" t="s">
        <v>9</v>
      </c>
      <c r="D5" s="21">
        <v>5.4999999999999997E-3</v>
      </c>
      <c r="E5" s="21">
        <v>2.5899999999999999E-2</v>
      </c>
      <c r="F5" s="21"/>
      <c r="G5" s="21">
        <f t="shared" si="0"/>
        <v>2.5899999999999999E-2</v>
      </c>
      <c r="H5" s="22">
        <v>42986.65</v>
      </c>
      <c r="I5" s="22">
        <v>657245.04</v>
      </c>
      <c r="J5" s="29">
        <f t="shared" si="1"/>
        <v>43921</v>
      </c>
      <c r="L5" s="37" t="s">
        <v>30</v>
      </c>
      <c r="M5" s="11"/>
    </row>
    <row r="6" spans="1:13" x14ac:dyDescent="0.25">
      <c r="A6" s="18" t="s">
        <v>28</v>
      </c>
      <c r="B6" s="19" t="s">
        <v>16</v>
      </c>
      <c r="C6" s="20" t="s">
        <v>15</v>
      </c>
      <c r="D6" s="21">
        <v>3.56E-2</v>
      </c>
      <c r="E6" s="21">
        <v>5.5899999999999998E-2</v>
      </c>
      <c r="F6" s="21">
        <v>3.1699999999999999E-2</v>
      </c>
      <c r="G6" s="21">
        <f t="shared" si="0"/>
        <v>3.1699999999999999E-2</v>
      </c>
      <c r="H6" s="22">
        <v>364000</v>
      </c>
      <c r="I6" s="62">
        <v>29437772.600000001</v>
      </c>
      <c r="J6" s="29">
        <f t="shared" si="1"/>
        <v>45930</v>
      </c>
      <c r="L6" s="38" t="s">
        <v>88</v>
      </c>
      <c r="M6" s="39" t="s">
        <v>89</v>
      </c>
    </row>
    <row r="7" spans="1:13" x14ac:dyDescent="0.25">
      <c r="A7" s="18" t="s">
        <v>28</v>
      </c>
      <c r="B7" s="19" t="s">
        <v>38</v>
      </c>
      <c r="C7" s="20" t="s">
        <v>9</v>
      </c>
      <c r="D7" s="21">
        <v>2.2300000000000002E-3</v>
      </c>
      <c r="E7" s="21">
        <v>8.0000000000000004E-4</v>
      </c>
      <c r="F7" s="21"/>
      <c r="G7" s="21">
        <f t="shared" si="0"/>
        <v>2.2300000000000002E-3</v>
      </c>
      <c r="H7" s="22">
        <v>5925.5556944444443</v>
      </c>
      <c r="I7" s="22">
        <v>426640.01</v>
      </c>
      <c r="J7" s="29">
        <f t="shared" si="1"/>
        <v>45657</v>
      </c>
      <c r="K7" s="46"/>
      <c r="L7" s="42" t="s">
        <v>97</v>
      </c>
      <c r="M7" s="18" t="s">
        <v>98</v>
      </c>
    </row>
    <row r="8" spans="1:13" x14ac:dyDescent="0.25">
      <c r="A8" s="18" t="s">
        <v>28</v>
      </c>
      <c r="B8" s="19" t="s">
        <v>39</v>
      </c>
      <c r="C8" s="20" t="s">
        <v>9</v>
      </c>
      <c r="D8" s="21">
        <v>1.4E-3</v>
      </c>
      <c r="E8" s="21">
        <v>3.2000000000000002E-3</v>
      </c>
      <c r="F8" s="21"/>
      <c r="G8" s="21">
        <f t="shared" si="0"/>
        <v>3.2000000000000002E-3</v>
      </c>
      <c r="H8" s="22">
        <v>10497.46</v>
      </c>
      <c r="I8" s="22">
        <v>341062.43</v>
      </c>
      <c r="J8" s="29">
        <f t="shared" si="1"/>
        <v>44439</v>
      </c>
      <c r="L8" s="9"/>
    </row>
    <row r="9" spans="1:13" x14ac:dyDescent="0.25">
      <c r="A9" s="18" t="s">
        <v>28</v>
      </c>
      <c r="B9" s="19" t="s">
        <v>40</v>
      </c>
      <c r="C9" s="20" t="s">
        <v>9</v>
      </c>
      <c r="D9" s="21">
        <v>2.7000000000000001E-3</v>
      </c>
      <c r="E9" s="21">
        <v>9.4163029851287595E-3</v>
      </c>
      <c r="F9" s="21"/>
      <c r="G9" s="21">
        <f t="shared" si="0"/>
        <v>9.4163029851287595E-3</v>
      </c>
      <c r="H9" s="22">
        <v>28245.759999999998</v>
      </c>
      <c r="I9" s="22">
        <v>581186.61</v>
      </c>
      <c r="J9" s="29">
        <f t="shared" si="1"/>
        <v>44104</v>
      </c>
      <c r="L9" s="9"/>
    </row>
    <row r="10" spans="1:13" x14ac:dyDescent="0.25">
      <c r="A10" s="18" t="s">
        <v>28</v>
      </c>
      <c r="B10" s="19" t="s">
        <v>41</v>
      </c>
      <c r="C10" s="20" t="s">
        <v>9</v>
      </c>
      <c r="D10" s="21">
        <v>1.6999999999999999E-3</v>
      </c>
      <c r="E10" s="21">
        <v>4.3E-3</v>
      </c>
      <c r="F10" s="21"/>
      <c r="G10" s="21">
        <f t="shared" si="0"/>
        <v>4.3E-3</v>
      </c>
      <c r="H10" s="22">
        <v>33937.919999999998</v>
      </c>
      <c r="I10" s="22">
        <v>973208.13</v>
      </c>
      <c r="J10" s="29">
        <f t="shared" si="1"/>
        <v>44347</v>
      </c>
    </row>
    <row r="11" spans="1:13" x14ac:dyDescent="0.25">
      <c r="A11" s="18" t="s">
        <v>28</v>
      </c>
      <c r="B11" s="19" t="s">
        <v>42</v>
      </c>
      <c r="C11" s="20" t="s">
        <v>9</v>
      </c>
      <c r="D11" s="21">
        <v>4.8999999999999998E-3</v>
      </c>
      <c r="E11" s="21">
        <v>3.8999999999999998E-3</v>
      </c>
      <c r="F11" s="21"/>
      <c r="G11" s="21">
        <f t="shared" si="0"/>
        <v>4.8999999999999998E-3</v>
      </c>
      <c r="H11" s="22">
        <v>74757.31</v>
      </c>
      <c r="I11" s="22">
        <v>5382526.5</v>
      </c>
      <c r="J11" s="29">
        <f t="shared" si="1"/>
        <v>45657</v>
      </c>
      <c r="L11" s="9"/>
    </row>
    <row r="12" spans="1:13" x14ac:dyDescent="0.25">
      <c r="A12" s="18" t="s">
        <v>28</v>
      </c>
      <c r="B12" s="19" t="s">
        <v>43</v>
      </c>
      <c r="C12" s="20" t="s">
        <v>9</v>
      </c>
      <c r="D12" s="21">
        <v>3.7000000000000002E-3</v>
      </c>
      <c r="E12" s="21">
        <v>0.01</v>
      </c>
      <c r="F12" s="21"/>
      <c r="G12" s="21">
        <f t="shared" si="0"/>
        <v>0.01</v>
      </c>
      <c r="H12" s="22">
        <v>308603.75</v>
      </c>
      <c r="I12" s="22">
        <v>8214771.9899999993</v>
      </c>
      <c r="J12" s="29">
        <f t="shared" si="1"/>
        <v>44286</v>
      </c>
      <c r="L12" s="9"/>
    </row>
    <row r="13" spans="1:13" x14ac:dyDescent="0.25">
      <c r="A13" s="18" t="s">
        <v>28</v>
      </c>
      <c r="B13" s="19" t="s">
        <v>44</v>
      </c>
      <c r="C13" s="20" t="s">
        <v>9</v>
      </c>
      <c r="D13" s="21">
        <v>6.0000000000000001E-3</v>
      </c>
      <c r="E13" s="21">
        <v>3.7000000000000002E-3</v>
      </c>
      <c r="F13" s="21"/>
      <c r="G13" s="21">
        <f t="shared" si="0"/>
        <v>6.0000000000000001E-3</v>
      </c>
      <c r="H13" s="22">
        <v>92493.870972222227</v>
      </c>
      <c r="I13" s="22">
        <v>6659558.71</v>
      </c>
      <c r="J13" s="29">
        <f t="shared" si="1"/>
        <v>45657</v>
      </c>
      <c r="L13" s="9"/>
    </row>
    <row r="14" spans="1:13" x14ac:dyDescent="0.25">
      <c r="A14" s="18" t="s">
        <v>29</v>
      </c>
      <c r="B14" s="19" t="s">
        <v>45</v>
      </c>
      <c r="C14" s="20" t="s">
        <v>9</v>
      </c>
      <c r="D14" s="21">
        <v>8.8000000000000005E-3</v>
      </c>
      <c r="E14" s="21">
        <v>2.0210698856246136E-2</v>
      </c>
      <c r="F14" s="21"/>
      <c r="G14" s="21">
        <f t="shared" si="0"/>
        <v>2.0210698856246136E-2</v>
      </c>
      <c r="H14" s="22">
        <v>46166.116764999992</v>
      </c>
      <c r="I14" s="22">
        <v>1441650.2599999998</v>
      </c>
      <c r="J14" s="29">
        <f t="shared" si="1"/>
        <v>44408</v>
      </c>
      <c r="L14" s="9"/>
    </row>
    <row r="15" spans="1:13" s="17" customFormat="1" x14ac:dyDescent="0.25">
      <c r="A15" s="24" t="s">
        <v>28</v>
      </c>
      <c r="B15" s="25" t="s">
        <v>0</v>
      </c>
      <c r="C15" s="20" t="s">
        <v>9</v>
      </c>
      <c r="D15" s="20">
        <v>1.6000000000000001E-3</v>
      </c>
      <c r="E15" s="20">
        <v>6.6E-3</v>
      </c>
      <c r="F15" s="20"/>
      <c r="G15" s="20">
        <f t="shared" si="0"/>
        <v>6.6E-3</v>
      </c>
      <c r="H15" s="23">
        <v>74216.8956730707</v>
      </c>
      <c r="I15" s="23">
        <v>1322021.7500000002</v>
      </c>
      <c r="J15" s="29">
        <f t="shared" si="1"/>
        <v>44012</v>
      </c>
      <c r="L15" s="15"/>
    </row>
    <row r="16" spans="1:13" s="17" customFormat="1" x14ac:dyDescent="0.25">
      <c r="A16" s="24" t="s">
        <v>28</v>
      </c>
      <c r="B16" s="25" t="s">
        <v>1</v>
      </c>
      <c r="C16" s="20" t="s">
        <v>9</v>
      </c>
      <c r="D16" s="20">
        <v>1.5E-3</v>
      </c>
      <c r="E16" s="20">
        <v>4.1000000000000003E-3</v>
      </c>
      <c r="F16" s="20"/>
      <c r="G16" s="20">
        <f t="shared" si="0"/>
        <v>4.1000000000000003E-3</v>
      </c>
      <c r="H16" s="23">
        <v>24475.037008833337</v>
      </c>
      <c r="I16" s="23">
        <v>659042.24</v>
      </c>
      <c r="J16" s="29">
        <f t="shared" si="1"/>
        <v>44286</v>
      </c>
      <c r="L16" s="15"/>
    </row>
    <row r="17" spans="1:12" x14ac:dyDescent="0.25">
      <c r="A17" s="18" t="s">
        <v>28</v>
      </c>
      <c r="B17" s="19" t="s">
        <v>46</v>
      </c>
      <c r="C17" s="20" t="s">
        <v>9</v>
      </c>
      <c r="D17" s="21">
        <v>1.1000000000000001E-3</v>
      </c>
      <c r="E17" s="21">
        <v>3.0999999999999999E-3</v>
      </c>
      <c r="F17" s="21"/>
      <c r="G17" s="21">
        <f t="shared" si="0"/>
        <v>3.0999999999999999E-3</v>
      </c>
      <c r="H17" s="22">
        <v>4995.51</v>
      </c>
      <c r="I17" s="22">
        <v>123976.3</v>
      </c>
      <c r="J17" s="29">
        <f t="shared" si="1"/>
        <v>44227</v>
      </c>
      <c r="L17" s="9"/>
    </row>
    <row r="18" spans="1:12" x14ac:dyDescent="0.25">
      <c r="A18" s="18" t="s">
        <v>28</v>
      </c>
      <c r="B18" s="19" t="s">
        <v>47</v>
      </c>
      <c r="C18" s="20" t="s">
        <v>9</v>
      </c>
      <c r="D18" s="21">
        <v>1.6999999999999999E-3</v>
      </c>
      <c r="E18" s="21">
        <v>1.09E-2</v>
      </c>
      <c r="F18" s="21"/>
      <c r="G18" s="21">
        <f t="shared" si="0"/>
        <v>1.09E-2</v>
      </c>
      <c r="H18" s="22">
        <v>613308.49</v>
      </c>
      <c r="I18" s="22">
        <v>7083191.9700000007</v>
      </c>
      <c r="J18" s="29">
        <f t="shared" si="1"/>
        <v>43830</v>
      </c>
      <c r="L18" s="9"/>
    </row>
    <row r="19" spans="1:12" x14ac:dyDescent="0.25">
      <c r="A19" s="18" t="s">
        <v>28</v>
      </c>
      <c r="B19" s="19" t="s">
        <v>48</v>
      </c>
      <c r="C19" s="20" t="s">
        <v>9</v>
      </c>
      <c r="D19" s="21">
        <v>3.0800000000000001E-2</v>
      </c>
      <c r="E19" s="21">
        <v>1.67E-2</v>
      </c>
      <c r="F19" s="21"/>
      <c r="G19" s="21">
        <f t="shared" si="0"/>
        <v>3.0800000000000001E-2</v>
      </c>
      <c r="H19" s="22">
        <v>115826.78</v>
      </c>
      <c r="I19" s="22">
        <v>8339527.9300000016</v>
      </c>
      <c r="J19" s="29">
        <f t="shared" si="1"/>
        <v>45657</v>
      </c>
      <c r="L19" s="9"/>
    </row>
    <row r="20" spans="1:12" x14ac:dyDescent="0.25">
      <c r="A20" s="18" t="s">
        <v>28</v>
      </c>
      <c r="B20" s="19" t="s">
        <v>92</v>
      </c>
      <c r="C20" s="20" t="s">
        <v>15</v>
      </c>
      <c r="D20" s="21">
        <v>1.41E-2</v>
      </c>
      <c r="E20" s="21">
        <v>2.75E-2</v>
      </c>
      <c r="F20" s="21">
        <v>1.3299999999999999E-2</v>
      </c>
      <c r="G20" s="21">
        <v>1.41E-2</v>
      </c>
      <c r="H20" s="22">
        <v>785194.7</v>
      </c>
      <c r="I20" s="22">
        <v>56575294.540000007</v>
      </c>
      <c r="J20" s="29">
        <f t="shared" si="1"/>
        <v>45657</v>
      </c>
      <c r="L20" s="9"/>
    </row>
    <row r="21" spans="1:12" s="17" customFormat="1" x14ac:dyDescent="0.25">
      <c r="A21" s="24" t="s">
        <v>28</v>
      </c>
      <c r="B21" s="25" t="s">
        <v>2</v>
      </c>
      <c r="C21" s="20" t="s">
        <v>9</v>
      </c>
      <c r="D21" s="20">
        <v>5.0000000000000001E-3</v>
      </c>
      <c r="E21" s="20">
        <v>1.17E-2</v>
      </c>
      <c r="F21" s="20"/>
      <c r="G21" s="20">
        <f t="shared" ref="G21:G63" si="2">IF(F21&lt;&gt;"",F21,IF(AND(D21&lt;&gt;"",E21&lt;&gt;""),MAX(D21,E21),""))</f>
        <v>1.17E-2</v>
      </c>
      <c r="H21" s="23">
        <v>42654.720000000001</v>
      </c>
      <c r="I21" s="23">
        <v>1308013.72</v>
      </c>
      <c r="J21" s="29">
        <f t="shared" si="1"/>
        <v>44408</v>
      </c>
      <c r="L21" s="15"/>
    </row>
    <row r="22" spans="1:12" x14ac:dyDescent="0.25">
      <c r="A22" s="18" t="s">
        <v>28</v>
      </c>
      <c r="B22" s="19" t="s">
        <v>49</v>
      </c>
      <c r="C22" s="20" t="s">
        <v>9</v>
      </c>
      <c r="D22" s="21">
        <v>1.2500000000000001E-2</v>
      </c>
      <c r="E22" s="21">
        <v>1.29E-2</v>
      </c>
      <c r="F22" s="21"/>
      <c r="G22" s="21">
        <f t="shared" si="2"/>
        <v>1.29E-2</v>
      </c>
      <c r="H22" s="22">
        <v>19474</v>
      </c>
      <c r="I22" s="22">
        <v>1365551.22</v>
      </c>
      <c r="J22" s="29">
        <f t="shared" si="1"/>
        <v>45596</v>
      </c>
      <c r="L22" s="9"/>
    </row>
    <row r="23" spans="1:12" x14ac:dyDescent="0.25">
      <c r="A23" s="18" t="s">
        <v>28</v>
      </c>
      <c r="B23" s="19" t="s">
        <v>93</v>
      </c>
      <c r="C23" s="20" t="s">
        <v>15</v>
      </c>
      <c r="D23" s="21">
        <v>0.01</v>
      </c>
      <c r="E23" s="21">
        <v>1.6500000000000001E-2</v>
      </c>
      <c r="F23" s="21">
        <v>8.5000000000000006E-3</v>
      </c>
      <c r="G23" s="21">
        <v>0.01</v>
      </c>
      <c r="H23" s="22">
        <v>18862922.741903059</v>
      </c>
      <c r="I23" s="22">
        <v>1358117119.5800002</v>
      </c>
      <c r="J23" s="29">
        <f t="shared" si="1"/>
        <v>45657</v>
      </c>
      <c r="L23" s="9"/>
    </row>
    <row r="24" spans="1:12" x14ac:dyDescent="0.25">
      <c r="A24" s="18" t="s">
        <v>28</v>
      </c>
      <c r="B24" s="19" t="s">
        <v>50</v>
      </c>
      <c r="C24" s="20" t="s">
        <v>9</v>
      </c>
      <c r="D24" s="21">
        <v>8.6999999999999994E-3</v>
      </c>
      <c r="E24" s="21">
        <v>1.4500000000000001E-2</v>
      </c>
      <c r="F24" s="21"/>
      <c r="G24" s="21">
        <f t="shared" si="2"/>
        <v>1.4500000000000001E-2</v>
      </c>
      <c r="H24" s="22">
        <v>1959844.62</v>
      </c>
      <c r="I24" s="22">
        <v>84410169.790000007</v>
      </c>
      <c r="J24" s="29">
        <f t="shared" si="1"/>
        <v>44773</v>
      </c>
      <c r="L24" s="9"/>
    </row>
    <row r="25" spans="1:12" x14ac:dyDescent="0.25">
      <c r="A25" s="18" t="s">
        <v>29</v>
      </c>
      <c r="B25" s="19" t="s">
        <v>51</v>
      </c>
      <c r="C25" s="20" t="s">
        <v>9</v>
      </c>
      <c r="D25" s="21">
        <v>3.8E-3</v>
      </c>
      <c r="E25" s="21">
        <v>6.6E-3</v>
      </c>
      <c r="F25" s="21"/>
      <c r="G25" s="21">
        <f t="shared" si="2"/>
        <v>6.6E-3</v>
      </c>
      <c r="H25" s="22">
        <v>15410.260640500001</v>
      </c>
      <c r="I25" s="22">
        <v>643391.19000000018</v>
      </c>
      <c r="J25" s="29">
        <f t="shared" si="1"/>
        <v>44742</v>
      </c>
      <c r="L25" s="9"/>
    </row>
    <row r="26" spans="1:12" x14ac:dyDescent="0.25">
      <c r="A26" s="18" t="s">
        <v>28</v>
      </c>
      <c r="B26" s="19" t="s">
        <v>52</v>
      </c>
      <c r="C26" s="20" t="s">
        <v>9</v>
      </c>
      <c r="D26" s="21">
        <v>3.8999999999999998E-3</v>
      </c>
      <c r="E26" s="21">
        <v>8.8000000000000005E-3</v>
      </c>
      <c r="F26" s="21"/>
      <c r="G26" s="21">
        <f t="shared" si="2"/>
        <v>8.8000000000000005E-3</v>
      </c>
      <c r="H26" s="22">
        <v>114700.57</v>
      </c>
      <c r="I26" s="22">
        <v>3669437.6</v>
      </c>
      <c r="J26" s="29">
        <f t="shared" si="1"/>
        <v>44439</v>
      </c>
      <c r="L26" s="9"/>
    </row>
    <row r="27" spans="1:12" x14ac:dyDescent="0.25">
      <c r="A27" s="18" t="s">
        <v>29</v>
      </c>
      <c r="B27" s="19" t="s">
        <v>53</v>
      </c>
      <c r="C27" s="20" t="s">
        <v>9</v>
      </c>
      <c r="D27" s="21">
        <v>5.5999999999999999E-3</v>
      </c>
      <c r="E27" s="21">
        <v>1.7500000000000002E-2</v>
      </c>
      <c r="F27" s="21"/>
      <c r="G27" s="21">
        <f t="shared" si="2"/>
        <v>1.7500000000000002E-2</v>
      </c>
      <c r="H27" s="22">
        <v>69585.48</v>
      </c>
      <c r="I27" s="22">
        <v>1597107.96</v>
      </c>
      <c r="J27" s="29">
        <f t="shared" si="1"/>
        <v>44165</v>
      </c>
      <c r="L27" s="9"/>
    </row>
    <row r="28" spans="1:12" x14ac:dyDescent="0.25">
      <c r="A28" s="18" t="s">
        <v>29</v>
      </c>
      <c r="B28" s="19" t="s">
        <v>54</v>
      </c>
      <c r="C28" s="20" t="s">
        <v>9</v>
      </c>
      <c r="D28" s="21">
        <v>1.15E-2</v>
      </c>
      <c r="E28" s="21">
        <v>1.66E-2</v>
      </c>
      <c r="F28" s="21"/>
      <c r="G28" s="21">
        <f t="shared" si="2"/>
        <v>1.66E-2</v>
      </c>
      <c r="H28" s="22">
        <v>178744.51</v>
      </c>
      <c r="I28" s="22">
        <v>8946534.4900000002</v>
      </c>
      <c r="J28" s="29">
        <f t="shared" si="1"/>
        <v>44985</v>
      </c>
      <c r="L28" s="9"/>
    </row>
    <row r="29" spans="1:12" x14ac:dyDescent="0.25">
      <c r="A29" s="18" t="s">
        <v>28</v>
      </c>
      <c r="B29" s="19" t="s">
        <v>55</v>
      </c>
      <c r="C29" s="20" t="s">
        <v>9</v>
      </c>
      <c r="D29" s="21">
        <v>4.7000000000000002E-3</v>
      </c>
      <c r="E29" s="21">
        <v>1.5599999999999999E-2</v>
      </c>
      <c r="F29" s="21"/>
      <c r="G29" s="21">
        <f t="shared" si="2"/>
        <v>1.5599999999999999E-2</v>
      </c>
      <c r="H29" s="22">
        <v>16411.59</v>
      </c>
      <c r="I29" s="22">
        <v>354904.07</v>
      </c>
      <c r="J29" s="29">
        <f t="shared" si="1"/>
        <v>44135</v>
      </c>
      <c r="L29" s="9"/>
    </row>
    <row r="30" spans="1:12" x14ac:dyDescent="0.25">
      <c r="A30" s="18" t="s">
        <v>28</v>
      </c>
      <c r="B30" s="19" t="s">
        <v>56</v>
      </c>
      <c r="C30" s="20" t="s">
        <v>9</v>
      </c>
      <c r="D30" s="21">
        <v>6.7999999999999996E-3</v>
      </c>
      <c r="E30" s="21">
        <v>1.0999999999999999E-2</v>
      </c>
      <c r="F30" s="21"/>
      <c r="G30" s="21">
        <f t="shared" si="2"/>
        <v>1.0999999999999999E-2</v>
      </c>
      <c r="H30" s="22">
        <v>57463.94</v>
      </c>
      <c r="I30" s="22">
        <v>2544531.58</v>
      </c>
      <c r="J30" s="29">
        <f t="shared" si="1"/>
        <v>44804</v>
      </c>
      <c r="L30" s="9"/>
    </row>
    <row r="31" spans="1:12" x14ac:dyDescent="0.25">
      <c r="A31" s="18" t="s">
        <v>28</v>
      </c>
      <c r="B31" s="19" t="s">
        <v>57</v>
      </c>
      <c r="C31" s="20" t="s">
        <v>9</v>
      </c>
      <c r="D31" s="21">
        <v>8.0999999999999996E-3</v>
      </c>
      <c r="E31" s="21">
        <v>1.2800000000000001E-2</v>
      </c>
      <c r="F31" s="21"/>
      <c r="G31" s="21">
        <f t="shared" si="2"/>
        <v>1.2800000000000001E-2</v>
      </c>
      <c r="H31" s="22">
        <v>31456.43</v>
      </c>
      <c r="I31" s="22">
        <v>1440933.23</v>
      </c>
      <c r="J31" s="29">
        <f t="shared" si="1"/>
        <v>44865</v>
      </c>
      <c r="L31" s="9"/>
    </row>
    <row r="32" spans="1:12" x14ac:dyDescent="0.25">
      <c r="A32" s="18" t="s">
        <v>28</v>
      </c>
      <c r="B32" s="19" t="s">
        <v>58</v>
      </c>
      <c r="C32" s="20" t="s">
        <v>9</v>
      </c>
      <c r="D32" s="21">
        <v>1.4200000000000001E-2</v>
      </c>
      <c r="E32" s="21">
        <v>1.89E-2</v>
      </c>
      <c r="F32" s="21"/>
      <c r="G32" s="21">
        <f t="shared" si="2"/>
        <v>1.89E-2</v>
      </c>
      <c r="H32" s="22">
        <v>91582.14</v>
      </c>
      <c r="I32" s="22">
        <v>4959199.47</v>
      </c>
      <c r="J32" s="29">
        <f t="shared" si="1"/>
        <v>45107</v>
      </c>
      <c r="L32" s="9"/>
    </row>
    <row r="33" spans="1:12" x14ac:dyDescent="0.25">
      <c r="A33" s="18" t="s">
        <v>28</v>
      </c>
      <c r="B33" s="19" t="s">
        <v>59</v>
      </c>
      <c r="C33" s="20" t="s">
        <v>9</v>
      </c>
      <c r="D33" s="21">
        <v>6.6E-3</v>
      </c>
      <c r="E33" s="21">
        <v>1.2800000000000001E-2</v>
      </c>
      <c r="F33" s="21"/>
      <c r="G33" s="21">
        <f t="shared" si="2"/>
        <v>1.2800000000000001E-2</v>
      </c>
      <c r="H33" s="22">
        <v>522693.03</v>
      </c>
      <c r="I33" s="22">
        <v>19594665.739999998</v>
      </c>
      <c r="J33" s="29">
        <f t="shared" si="1"/>
        <v>44592</v>
      </c>
      <c r="L33" s="9"/>
    </row>
    <row r="34" spans="1:12" x14ac:dyDescent="0.25">
      <c r="A34" s="18" t="s">
        <v>28</v>
      </c>
      <c r="B34" s="19" t="s">
        <v>60</v>
      </c>
      <c r="C34" s="20" t="s">
        <v>9</v>
      </c>
      <c r="D34" s="21">
        <v>1.8200000000000001E-2</v>
      </c>
      <c r="E34" s="21">
        <v>3.4799999999999998E-2</v>
      </c>
      <c r="F34" s="21"/>
      <c r="G34" s="21">
        <f t="shared" si="2"/>
        <v>3.4799999999999998E-2</v>
      </c>
      <c r="H34" s="22">
        <v>126950.25</v>
      </c>
      <c r="I34" s="22">
        <v>4784542.72</v>
      </c>
      <c r="J34" s="29">
        <f t="shared" si="1"/>
        <v>44620</v>
      </c>
      <c r="L34" s="9"/>
    </row>
    <row r="35" spans="1:12" x14ac:dyDescent="0.25">
      <c r="A35" s="18" t="s">
        <v>29</v>
      </c>
      <c r="B35" s="19" t="s">
        <v>61</v>
      </c>
      <c r="C35" s="20" t="s">
        <v>9</v>
      </c>
      <c r="D35" s="21">
        <v>3.3E-3</v>
      </c>
      <c r="E35" s="21">
        <v>7.9000000000000008E-3</v>
      </c>
      <c r="F35" s="21"/>
      <c r="G35" s="21">
        <f t="shared" si="2"/>
        <v>7.9000000000000008E-3</v>
      </c>
      <c r="H35" s="22">
        <v>19130.62</v>
      </c>
      <c r="I35" s="22">
        <v>581420.71</v>
      </c>
      <c r="J35" s="29">
        <f t="shared" ref="J35:J63" si="3">IF(OR(G35="",H35="",I35=""),"",EDATE($M$1,ROUND(I35/H35,0)))</f>
        <v>44377</v>
      </c>
      <c r="L35" s="9"/>
    </row>
    <row r="36" spans="1:12" x14ac:dyDescent="0.25">
      <c r="A36" s="18" t="s">
        <v>28</v>
      </c>
      <c r="B36" s="19" t="s">
        <v>62</v>
      </c>
      <c r="C36" s="20" t="s">
        <v>9</v>
      </c>
      <c r="D36" s="21">
        <v>3.0000000000000001E-3</v>
      </c>
      <c r="E36" s="21">
        <v>8.3000000000000001E-3</v>
      </c>
      <c r="F36" s="21"/>
      <c r="G36" s="21">
        <f t="shared" si="2"/>
        <v>8.3000000000000001E-3</v>
      </c>
      <c r="H36" s="22">
        <v>16088.55</v>
      </c>
      <c r="I36" s="22">
        <v>417782.8</v>
      </c>
      <c r="J36" s="29">
        <f t="shared" si="3"/>
        <v>44255</v>
      </c>
      <c r="L36" s="9"/>
    </row>
    <row r="37" spans="1:12" x14ac:dyDescent="0.25">
      <c r="A37" s="18" t="s">
        <v>29</v>
      </c>
      <c r="B37" s="19" t="s">
        <v>63</v>
      </c>
      <c r="C37" s="20" t="s">
        <v>9</v>
      </c>
      <c r="D37" s="21">
        <v>5.0000000000000001E-3</v>
      </c>
      <c r="E37" s="21">
        <v>2.8E-3</v>
      </c>
      <c r="F37" s="21"/>
      <c r="G37" s="21">
        <f t="shared" si="2"/>
        <v>5.0000000000000001E-3</v>
      </c>
      <c r="H37" s="22">
        <v>30314.09</v>
      </c>
      <c r="I37" s="22">
        <v>2182614.54</v>
      </c>
      <c r="J37" s="29">
        <f t="shared" si="3"/>
        <v>45657</v>
      </c>
      <c r="L37" s="9"/>
    </row>
    <row r="38" spans="1:12" x14ac:dyDescent="0.25">
      <c r="A38" s="18" t="s">
        <v>28</v>
      </c>
      <c r="B38" s="19" t="s">
        <v>64</v>
      </c>
      <c r="C38" s="20" t="s">
        <v>9</v>
      </c>
      <c r="D38" s="21">
        <v>3.5999999999999999E-3</v>
      </c>
      <c r="E38" s="21">
        <v>7.4999999999999997E-3</v>
      </c>
      <c r="F38" s="21"/>
      <c r="G38" s="21">
        <f t="shared" si="2"/>
        <v>7.4999999999999997E-3</v>
      </c>
      <c r="H38" s="22">
        <v>17560.18</v>
      </c>
      <c r="I38" s="22">
        <v>596683.35</v>
      </c>
      <c r="J38" s="29">
        <f t="shared" si="3"/>
        <v>44500</v>
      </c>
      <c r="L38" s="9"/>
    </row>
    <row r="39" spans="1:12" x14ac:dyDescent="0.25">
      <c r="A39" s="18" t="s">
        <v>28</v>
      </c>
      <c r="B39" s="19" t="s">
        <v>65</v>
      </c>
      <c r="C39" s="20" t="s">
        <v>9</v>
      </c>
      <c r="D39" s="21">
        <v>6.6E-3</v>
      </c>
      <c r="E39" s="21">
        <v>1.35E-2</v>
      </c>
      <c r="F39" s="21"/>
      <c r="G39" s="21">
        <f t="shared" si="2"/>
        <v>1.35E-2</v>
      </c>
      <c r="H39" s="22">
        <v>62428.33</v>
      </c>
      <c r="I39" s="22">
        <v>2194134.2799999998</v>
      </c>
      <c r="J39" s="29">
        <f t="shared" si="3"/>
        <v>44530</v>
      </c>
      <c r="L39" s="9"/>
    </row>
    <row r="40" spans="1:12" x14ac:dyDescent="0.25">
      <c r="A40" s="18" t="s">
        <v>28</v>
      </c>
      <c r="B40" s="19" t="s">
        <v>66</v>
      </c>
      <c r="C40" s="20" t="s">
        <v>9</v>
      </c>
      <c r="D40" s="21">
        <v>4.7999999999999996E-3</v>
      </c>
      <c r="E40" s="21">
        <v>8.2000000000000007E-3</v>
      </c>
      <c r="F40" s="21"/>
      <c r="G40" s="21">
        <f t="shared" si="2"/>
        <v>8.2000000000000007E-3</v>
      </c>
      <c r="H40" s="22">
        <v>49826.44</v>
      </c>
      <c r="I40" s="22">
        <v>2112023.34</v>
      </c>
      <c r="J40" s="29">
        <f t="shared" si="3"/>
        <v>44742</v>
      </c>
      <c r="L40" s="9"/>
    </row>
    <row r="41" spans="1:12" x14ac:dyDescent="0.25">
      <c r="A41" s="18" t="s">
        <v>28</v>
      </c>
      <c r="B41" s="19" t="s">
        <v>67</v>
      </c>
      <c r="C41" s="20" t="s">
        <v>9</v>
      </c>
      <c r="D41" s="21">
        <v>4.3E-3</v>
      </c>
      <c r="E41" s="21">
        <v>1.2800000000000001E-2</v>
      </c>
      <c r="F41" s="21"/>
      <c r="G41" s="21">
        <f t="shared" si="2"/>
        <v>1.2800000000000001E-2</v>
      </c>
      <c r="H41" s="22">
        <v>65720.22</v>
      </c>
      <c r="I41" s="22">
        <v>1586458.93</v>
      </c>
      <c r="J41" s="29">
        <f t="shared" si="3"/>
        <v>44196</v>
      </c>
      <c r="L41" s="9"/>
    </row>
    <row r="42" spans="1:12" s="17" customFormat="1" x14ac:dyDescent="0.25">
      <c r="A42" s="24" t="s">
        <v>28</v>
      </c>
      <c r="B42" s="25" t="s">
        <v>24</v>
      </c>
      <c r="C42" s="20" t="s">
        <v>9</v>
      </c>
      <c r="D42" s="20">
        <v>4.1000000000000003E-3</v>
      </c>
      <c r="E42" s="20">
        <v>1.2500000000000001E-2</v>
      </c>
      <c r="F42" s="20"/>
      <c r="G42" s="20">
        <f t="shared" si="2"/>
        <v>1.2500000000000001E-2</v>
      </c>
      <c r="H42" s="23">
        <v>14834.36</v>
      </c>
      <c r="I42" s="23">
        <v>349460.22</v>
      </c>
      <c r="J42" s="29">
        <f t="shared" si="3"/>
        <v>44196</v>
      </c>
      <c r="L42" s="15"/>
    </row>
    <row r="43" spans="1:12" x14ac:dyDescent="0.25">
      <c r="A43" s="18" t="s">
        <v>28</v>
      </c>
      <c r="B43" s="19" t="s">
        <v>68</v>
      </c>
      <c r="C43" s="20" t="s">
        <v>9</v>
      </c>
      <c r="D43" s="21">
        <v>1.2999999999999999E-3</v>
      </c>
      <c r="E43" s="21">
        <v>4.7999999999999996E-3</v>
      </c>
      <c r="F43" s="21"/>
      <c r="G43" s="21">
        <f t="shared" si="2"/>
        <v>4.7999999999999996E-3</v>
      </c>
      <c r="H43" s="22">
        <v>6266.61</v>
      </c>
      <c r="I43" s="22">
        <v>116925.2</v>
      </c>
      <c r="J43" s="29">
        <f t="shared" si="3"/>
        <v>44043</v>
      </c>
      <c r="L43" s="9"/>
    </row>
    <row r="44" spans="1:12" x14ac:dyDescent="0.25">
      <c r="A44" s="18" t="s">
        <v>28</v>
      </c>
      <c r="B44" s="19" t="s">
        <v>69</v>
      </c>
      <c r="C44" s="20" t="s">
        <v>9</v>
      </c>
      <c r="D44" s="21">
        <v>1.8E-3</v>
      </c>
      <c r="E44" s="21">
        <v>3.8E-3</v>
      </c>
      <c r="F44" s="21"/>
      <c r="G44" s="21">
        <f t="shared" si="2"/>
        <v>3.8E-3</v>
      </c>
      <c r="H44" s="22">
        <v>20295.650000000001</v>
      </c>
      <c r="I44" s="22">
        <v>685573.12999999989</v>
      </c>
      <c r="J44" s="29">
        <f t="shared" si="3"/>
        <v>44500</v>
      </c>
      <c r="L44" s="9"/>
    </row>
    <row r="45" spans="1:12" x14ac:dyDescent="0.25">
      <c r="A45" s="18" t="s">
        <v>28</v>
      </c>
      <c r="B45" s="19" t="s">
        <v>70</v>
      </c>
      <c r="C45" s="20" t="s">
        <v>9</v>
      </c>
      <c r="D45" s="21">
        <v>1.5E-3</v>
      </c>
      <c r="E45" s="21">
        <v>1.1000000000000001E-3</v>
      </c>
      <c r="F45" s="21"/>
      <c r="G45" s="21">
        <f t="shared" si="2"/>
        <v>1.5E-3</v>
      </c>
      <c r="H45" s="22">
        <v>3800.9109722222224</v>
      </c>
      <c r="I45" s="22">
        <v>273665.59000000003</v>
      </c>
      <c r="J45" s="29">
        <f t="shared" si="3"/>
        <v>45657</v>
      </c>
      <c r="L45" s="9"/>
    </row>
    <row r="46" spans="1:12" s="17" customFormat="1" x14ac:dyDescent="0.25">
      <c r="A46" s="24" t="s">
        <v>28</v>
      </c>
      <c r="B46" s="25" t="s">
        <v>3</v>
      </c>
      <c r="C46" s="20" t="s">
        <v>9</v>
      </c>
      <c r="D46" s="20">
        <v>8.3000000000000001E-3</v>
      </c>
      <c r="E46" s="20">
        <v>9.1000000000000004E-3</v>
      </c>
      <c r="F46" s="20"/>
      <c r="G46" s="20">
        <f t="shared" si="2"/>
        <v>9.1000000000000004E-3</v>
      </c>
      <c r="H46" s="23">
        <v>16648.86</v>
      </c>
      <c r="I46" s="23">
        <v>1100240.76</v>
      </c>
      <c r="J46" s="29">
        <f t="shared" si="3"/>
        <v>45473</v>
      </c>
      <c r="L46" s="15"/>
    </row>
    <row r="47" spans="1:12" x14ac:dyDescent="0.25">
      <c r="A47" s="18" t="s">
        <v>28</v>
      </c>
      <c r="B47" s="19" t="s">
        <v>71</v>
      </c>
      <c r="C47" s="20" t="s">
        <v>9</v>
      </c>
      <c r="D47" s="21">
        <v>1.06E-2</v>
      </c>
      <c r="E47" s="21">
        <v>3.1600000000000003E-2</v>
      </c>
      <c r="F47" s="21"/>
      <c r="G47" s="21">
        <f t="shared" si="2"/>
        <v>3.1600000000000003E-2</v>
      </c>
      <c r="H47" s="22">
        <v>42299.199999999997</v>
      </c>
      <c r="I47" s="22">
        <v>1023726.61</v>
      </c>
      <c r="J47" s="29">
        <f t="shared" si="3"/>
        <v>44196</v>
      </c>
      <c r="L47" s="9"/>
    </row>
    <row r="48" spans="1:12" x14ac:dyDescent="0.25">
      <c r="A48" s="18" t="s">
        <v>28</v>
      </c>
      <c r="B48" s="19" t="s">
        <v>72</v>
      </c>
      <c r="C48" s="20" t="s">
        <v>9</v>
      </c>
      <c r="D48" s="21">
        <v>9.9000000000000008E-3</v>
      </c>
      <c r="E48" s="21">
        <v>3.09E-2</v>
      </c>
      <c r="F48" s="21"/>
      <c r="G48" s="21">
        <f t="shared" si="2"/>
        <v>3.09E-2</v>
      </c>
      <c r="H48" s="22">
        <v>114357.7</v>
      </c>
      <c r="I48" s="22">
        <v>2646612.6900000004</v>
      </c>
      <c r="J48" s="29">
        <f t="shared" si="3"/>
        <v>44165</v>
      </c>
      <c r="L48" s="9"/>
    </row>
    <row r="49" spans="1:13" x14ac:dyDescent="0.25">
      <c r="A49" s="18" t="s">
        <v>28</v>
      </c>
      <c r="B49" s="19" t="s">
        <v>73</v>
      </c>
      <c r="C49" s="20" t="s">
        <v>9</v>
      </c>
      <c r="D49" s="21">
        <v>1.9E-3</v>
      </c>
      <c r="E49" s="21">
        <v>1.4E-3</v>
      </c>
      <c r="F49" s="21"/>
      <c r="G49" s="21">
        <f t="shared" si="2"/>
        <v>1.9E-3</v>
      </c>
      <c r="H49" s="22">
        <v>3602.9677777777779</v>
      </c>
      <c r="I49" s="22">
        <v>259413.68</v>
      </c>
      <c r="J49" s="29">
        <f t="shared" si="3"/>
        <v>45657</v>
      </c>
      <c r="L49" s="9"/>
    </row>
    <row r="50" spans="1:13" x14ac:dyDescent="0.25">
      <c r="A50" s="18" t="s">
        <v>28</v>
      </c>
      <c r="B50" s="19" t="s">
        <v>74</v>
      </c>
      <c r="C50" s="20" t="s">
        <v>9</v>
      </c>
      <c r="D50" s="21">
        <v>1.8E-3</v>
      </c>
      <c r="E50" s="21">
        <v>6.6E-3</v>
      </c>
      <c r="F50" s="21"/>
      <c r="G50" s="21">
        <f t="shared" si="2"/>
        <v>6.6E-3</v>
      </c>
      <c r="H50" s="22">
        <v>14573.52</v>
      </c>
      <c r="I50" s="22">
        <v>288905.68</v>
      </c>
      <c r="J50" s="29">
        <f t="shared" si="3"/>
        <v>44074</v>
      </c>
      <c r="L50" s="9"/>
    </row>
    <row r="51" spans="1:13" s="17" customFormat="1" x14ac:dyDescent="0.25">
      <c r="A51" s="24" t="s">
        <v>28</v>
      </c>
      <c r="B51" s="25" t="s">
        <v>8</v>
      </c>
      <c r="C51" s="20" t="s">
        <v>9</v>
      </c>
      <c r="D51" s="20">
        <v>4.3E-3</v>
      </c>
      <c r="E51" s="20">
        <v>1.06E-2</v>
      </c>
      <c r="F51" s="20"/>
      <c r="G51" s="20">
        <f t="shared" si="2"/>
        <v>1.06E-2</v>
      </c>
      <c r="H51" s="23">
        <v>208013.76159733333</v>
      </c>
      <c r="I51" s="23">
        <v>6019926.1699999999</v>
      </c>
      <c r="J51" s="29">
        <f t="shared" si="3"/>
        <v>44347</v>
      </c>
      <c r="L51" s="15"/>
    </row>
    <row r="52" spans="1:13" x14ac:dyDescent="0.25">
      <c r="A52" s="18" t="s">
        <v>28</v>
      </c>
      <c r="B52" s="19" t="s">
        <v>75</v>
      </c>
      <c r="C52" s="20" t="s">
        <v>9</v>
      </c>
      <c r="D52" s="21">
        <v>1.6999999999999999E-3</v>
      </c>
      <c r="E52" s="21">
        <v>4.8999999999999998E-3</v>
      </c>
      <c r="F52" s="21"/>
      <c r="G52" s="21">
        <f t="shared" si="2"/>
        <v>4.8999999999999998E-3</v>
      </c>
      <c r="H52" s="22">
        <v>33488.93</v>
      </c>
      <c r="I52" s="22">
        <v>827032.36</v>
      </c>
      <c r="J52" s="29">
        <f t="shared" si="3"/>
        <v>44227</v>
      </c>
      <c r="L52" s="9"/>
    </row>
    <row r="53" spans="1:13" x14ac:dyDescent="0.25">
      <c r="A53" s="18" t="s">
        <v>28</v>
      </c>
      <c r="B53" s="19" t="s">
        <v>76</v>
      </c>
      <c r="C53" s="20" t="s">
        <v>9</v>
      </c>
      <c r="D53" s="21">
        <v>2.0000000000000001E-4</v>
      </c>
      <c r="E53" s="21">
        <v>1.1000000000000001E-3</v>
      </c>
      <c r="F53" s="21"/>
      <c r="G53" s="21">
        <f t="shared" si="2"/>
        <v>1.1000000000000001E-3</v>
      </c>
      <c r="H53" s="22">
        <v>2106.75</v>
      </c>
      <c r="I53" s="22">
        <v>24153.83</v>
      </c>
      <c r="J53" s="29">
        <f t="shared" si="3"/>
        <v>43799</v>
      </c>
      <c r="L53" s="9"/>
    </row>
    <row r="54" spans="1:13" s="17" customFormat="1" x14ac:dyDescent="0.25">
      <c r="A54" s="18" t="s">
        <v>28</v>
      </c>
      <c r="B54" s="25" t="s">
        <v>7</v>
      </c>
      <c r="C54" s="20" t="s">
        <v>9</v>
      </c>
      <c r="D54" s="20">
        <v>1E-3</v>
      </c>
      <c r="E54" s="20">
        <v>1.0800000000000001E-2</v>
      </c>
      <c r="F54" s="20"/>
      <c r="G54" s="20">
        <f t="shared" si="2"/>
        <v>1.0800000000000001E-2</v>
      </c>
      <c r="H54" s="23">
        <v>52801.58</v>
      </c>
      <c r="I54" s="23">
        <v>367171.87</v>
      </c>
      <c r="J54" s="29">
        <f t="shared" si="3"/>
        <v>43677</v>
      </c>
      <c r="L54" s="15"/>
    </row>
    <row r="55" spans="1:13" x14ac:dyDescent="0.25">
      <c r="A55" s="18" t="s">
        <v>28</v>
      </c>
      <c r="B55" s="19" t="s">
        <v>77</v>
      </c>
      <c r="C55" s="20" t="s">
        <v>9</v>
      </c>
      <c r="D55" s="21">
        <v>8.6E-3</v>
      </c>
      <c r="E55" s="21">
        <v>6.1000000000000004E-3</v>
      </c>
      <c r="F55" s="21"/>
      <c r="G55" s="21">
        <f t="shared" si="2"/>
        <v>8.6E-3</v>
      </c>
      <c r="H55" s="22">
        <v>430840.20708333334</v>
      </c>
      <c r="I55" s="22">
        <v>31020494.91</v>
      </c>
      <c r="J55" s="29">
        <f t="shared" si="3"/>
        <v>45657</v>
      </c>
      <c r="L55" s="9"/>
    </row>
    <row r="56" spans="1:13" x14ac:dyDescent="0.25">
      <c r="A56" s="18" t="s">
        <v>28</v>
      </c>
      <c r="B56" s="19" t="s">
        <v>78</v>
      </c>
      <c r="C56" s="20" t="s">
        <v>9</v>
      </c>
      <c r="D56" s="21">
        <v>1.43E-2</v>
      </c>
      <c r="E56" s="21">
        <v>1.47E-2</v>
      </c>
      <c r="F56" s="21"/>
      <c r="G56" s="21">
        <f t="shared" si="2"/>
        <v>1.47E-2</v>
      </c>
      <c r="H56" s="22">
        <v>26063.49</v>
      </c>
      <c r="I56" s="22">
        <v>1827169.46</v>
      </c>
      <c r="J56" s="29">
        <f t="shared" si="3"/>
        <v>45596</v>
      </c>
      <c r="L56" s="9"/>
    </row>
    <row r="57" spans="1:13" x14ac:dyDescent="0.25">
      <c r="A57" s="18" t="s">
        <v>28</v>
      </c>
      <c r="B57" s="19" t="s">
        <v>79</v>
      </c>
      <c r="C57" s="20" t="s">
        <v>9</v>
      </c>
      <c r="D57" s="21">
        <v>8.0000000000000002E-3</v>
      </c>
      <c r="E57" s="21">
        <v>2.4E-2</v>
      </c>
      <c r="F57" s="21"/>
      <c r="G57" s="21">
        <f t="shared" si="2"/>
        <v>2.4E-2</v>
      </c>
      <c r="H57" s="22">
        <v>148321.74</v>
      </c>
      <c r="I57" s="22">
        <v>3573643.97</v>
      </c>
      <c r="J57" s="29">
        <f t="shared" si="3"/>
        <v>44196</v>
      </c>
      <c r="L57" s="9"/>
    </row>
    <row r="58" spans="1:13" s="17" customFormat="1" x14ac:dyDescent="0.25">
      <c r="A58" s="24" t="s">
        <v>28</v>
      </c>
      <c r="B58" s="25" t="s">
        <v>4</v>
      </c>
      <c r="C58" s="20" t="s">
        <v>9</v>
      </c>
      <c r="D58" s="20">
        <v>5.5999999999999999E-3</v>
      </c>
      <c r="E58" s="20">
        <v>1.9099999999999999E-2</v>
      </c>
      <c r="F58" s="20"/>
      <c r="G58" s="20">
        <f t="shared" si="2"/>
        <v>1.9099999999999999E-2</v>
      </c>
      <c r="H58" s="23">
        <v>61960.624504583335</v>
      </c>
      <c r="I58" s="23">
        <v>1298139.7</v>
      </c>
      <c r="J58" s="29">
        <f t="shared" si="3"/>
        <v>44104</v>
      </c>
      <c r="L58" s="15"/>
    </row>
    <row r="59" spans="1:13" s="17" customFormat="1" x14ac:dyDescent="0.25">
      <c r="A59" s="24" t="s">
        <v>28</v>
      </c>
      <c r="B59" s="25" t="s">
        <v>5</v>
      </c>
      <c r="C59" s="20" t="s">
        <v>9</v>
      </c>
      <c r="D59" s="20">
        <v>3.0000000000000001E-3</v>
      </c>
      <c r="E59" s="20">
        <v>5.5999999999999999E-3</v>
      </c>
      <c r="F59" s="20"/>
      <c r="G59" s="20">
        <f t="shared" si="2"/>
        <v>5.5999999999999999E-3</v>
      </c>
      <c r="H59" s="23">
        <v>24908.880000000001</v>
      </c>
      <c r="I59" s="23">
        <v>966296.27</v>
      </c>
      <c r="J59" s="29">
        <f t="shared" si="3"/>
        <v>44651</v>
      </c>
      <c r="K59" s="15"/>
      <c r="L59" s="15"/>
      <c r="M59" s="15"/>
    </row>
    <row r="60" spans="1:13" s="17" customFormat="1" x14ac:dyDescent="0.25">
      <c r="A60" s="24" t="s">
        <v>28</v>
      </c>
      <c r="B60" s="25" t="s">
        <v>6</v>
      </c>
      <c r="C60" s="20" t="s">
        <v>9</v>
      </c>
      <c r="D60" s="20">
        <v>1.38E-2</v>
      </c>
      <c r="E60" s="20">
        <v>1.6400000000000001E-2</v>
      </c>
      <c r="F60" s="20"/>
      <c r="G60" s="20">
        <f t="shared" si="2"/>
        <v>1.6400000000000001E-2</v>
      </c>
      <c r="H60" s="23">
        <v>24595.56</v>
      </c>
      <c r="I60" s="23">
        <v>1497658.42</v>
      </c>
      <c r="J60" s="29">
        <f t="shared" si="3"/>
        <v>45322</v>
      </c>
      <c r="L60" s="15"/>
    </row>
    <row r="61" spans="1:13" x14ac:dyDescent="0.25">
      <c r="A61" s="18" t="s">
        <v>28</v>
      </c>
      <c r="B61" s="19" t="s">
        <v>80</v>
      </c>
      <c r="C61" s="20" t="s">
        <v>9</v>
      </c>
      <c r="D61" s="21">
        <v>2.5999999999999999E-3</v>
      </c>
      <c r="E61" s="21">
        <v>6.0000000000000001E-3</v>
      </c>
      <c r="F61" s="21"/>
      <c r="G61" s="21">
        <f t="shared" si="2"/>
        <v>6.0000000000000001E-3</v>
      </c>
      <c r="H61" s="22">
        <v>36230.39</v>
      </c>
      <c r="I61" s="22">
        <v>1097498.78</v>
      </c>
      <c r="J61" s="29">
        <f t="shared" si="3"/>
        <v>44377</v>
      </c>
      <c r="L61" s="9"/>
    </row>
    <row r="62" spans="1:13" x14ac:dyDescent="0.25">
      <c r="A62" s="18" t="s">
        <v>28</v>
      </c>
      <c r="B62" s="19" t="s">
        <v>81</v>
      </c>
      <c r="C62" s="20" t="s">
        <v>9</v>
      </c>
      <c r="D62" s="21">
        <v>9.1999999999999998E-3</v>
      </c>
      <c r="E62" s="21">
        <v>3.6900000000000002E-2</v>
      </c>
      <c r="F62" s="21"/>
      <c r="G62" s="21">
        <f t="shared" si="2"/>
        <v>3.6900000000000002E-2</v>
      </c>
      <c r="H62" s="22">
        <v>761460.99</v>
      </c>
      <c r="I62" s="22">
        <v>13604995.43</v>
      </c>
      <c r="J62" s="29">
        <f t="shared" si="3"/>
        <v>44012</v>
      </c>
      <c r="L62" s="9"/>
    </row>
    <row r="63" spans="1:13" x14ac:dyDescent="0.25">
      <c r="A63" s="18" t="s">
        <v>28</v>
      </c>
      <c r="B63" s="19" t="s">
        <v>82</v>
      </c>
      <c r="C63" s="20" t="s">
        <v>9</v>
      </c>
      <c r="D63" s="21">
        <v>1.24E-2</v>
      </c>
      <c r="E63" s="21">
        <v>2.3E-2</v>
      </c>
      <c r="F63" s="21"/>
      <c r="G63" s="21">
        <f t="shared" si="2"/>
        <v>2.3E-2</v>
      </c>
      <c r="H63" s="22">
        <v>127821.99</v>
      </c>
      <c r="I63" s="22">
        <v>4948099.5199999996</v>
      </c>
      <c r="J63" s="29">
        <f t="shared" si="3"/>
        <v>44651</v>
      </c>
      <c r="L63" s="9"/>
    </row>
    <row r="64" spans="1:13" s="45" customFormat="1" ht="12" x14ac:dyDescent="0.2">
      <c r="A64" s="43"/>
      <c r="B64" s="43" t="s">
        <v>94</v>
      </c>
      <c r="C64" s="44"/>
      <c r="D64" s="43"/>
      <c r="E64" s="44"/>
      <c r="F64" s="44"/>
      <c r="H64" s="43"/>
      <c r="I64" s="44"/>
      <c r="J64" s="43"/>
    </row>
    <row r="65" spans="1:10" s="45" customFormat="1" ht="12" x14ac:dyDescent="0.2">
      <c r="A65" s="43"/>
      <c r="B65" s="43" t="s">
        <v>95</v>
      </c>
      <c r="C65" s="44"/>
      <c r="D65" s="43"/>
      <c r="E65" s="44"/>
      <c r="F65" s="44"/>
      <c r="H65" s="43"/>
      <c r="I65" s="44"/>
      <c r="J65" s="43"/>
    </row>
    <row r="66" spans="1:10" s="45" customFormat="1" ht="12" x14ac:dyDescent="0.2">
      <c r="A66" s="43"/>
      <c r="B66" s="43" t="s">
        <v>96</v>
      </c>
      <c r="C66" s="44"/>
      <c r="D66" s="43"/>
      <c r="E66" s="44"/>
      <c r="F66" s="44"/>
      <c r="H66" s="43"/>
      <c r="I66" s="44"/>
      <c r="J66" s="43"/>
    </row>
    <row r="67" spans="1:10" s="10" customFormat="1" ht="15" x14ac:dyDescent="0.25">
      <c r="A67" s="26"/>
      <c r="B67" s="26"/>
      <c r="C67" s="27"/>
      <c r="D67" s="26"/>
      <c r="E67" s="27"/>
      <c r="F67" s="27"/>
      <c r="H67" s="26"/>
      <c r="I67" s="27"/>
      <c r="J67" s="26"/>
    </row>
    <row r="68" spans="1:10" x14ac:dyDescent="0.25">
      <c r="A68" s="18"/>
      <c r="B68" s="26"/>
      <c r="C68" s="27"/>
      <c r="D68" s="26"/>
      <c r="E68" s="27"/>
      <c r="H68" s="26"/>
      <c r="I68" s="27"/>
      <c r="J68" s="18"/>
    </row>
    <row r="69" spans="1:10" x14ac:dyDescent="0.25">
      <c r="B69" s="96" t="s">
        <v>34</v>
      </c>
      <c r="C69" s="96"/>
      <c r="D69" s="96"/>
      <c r="G69" s="96" t="s">
        <v>86</v>
      </c>
      <c r="H69" s="96"/>
      <c r="I69" s="96"/>
    </row>
    <row r="70" spans="1:10" x14ac:dyDescent="0.25">
      <c r="B70" s="31" t="s">
        <v>31</v>
      </c>
      <c r="C70" s="28">
        <f>COUNTIF($G$3:$G$63,"&lt;1%")</f>
        <v>29</v>
      </c>
      <c r="D70" s="33">
        <f>$C70/COUNTA($B$3:$B$63)</f>
        <v>0.47540983606557374</v>
      </c>
      <c r="G70" s="32" t="s">
        <v>84</v>
      </c>
      <c r="H70" s="32" t="s">
        <v>85</v>
      </c>
      <c r="I70" s="40" t="s">
        <v>91</v>
      </c>
    </row>
    <row r="71" spans="1:10" x14ac:dyDescent="0.25">
      <c r="B71" s="31" t="s">
        <v>32</v>
      </c>
      <c r="C71" s="28">
        <f>COUNTIFS($G$3:$G$63,"&gt;=1%",$G$3:$G$63,"&lt;2%")</f>
        <v>22</v>
      </c>
      <c r="D71" s="33">
        <f>$C71/COUNTA($B$3:$B$63)</f>
        <v>0.36065573770491804</v>
      </c>
      <c r="G71" s="34">
        <v>2019</v>
      </c>
      <c r="H71" s="34">
        <f>COUNTIFS($J$3:$J$63,"&gt;=01/2019",$J$3:$J$63,"&lt;01/2020")</f>
        <v>3</v>
      </c>
      <c r="I71" s="31">
        <f>H79-H71</f>
        <v>58</v>
      </c>
    </row>
    <row r="72" spans="1:10" x14ac:dyDescent="0.25">
      <c r="B72" s="31" t="s">
        <v>33</v>
      </c>
      <c r="C72" s="28">
        <f>COUNTIF($G$3:$G$63,"&gt;=2%")</f>
        <v>10</v>
      </c>
      <c r="D72" s="33">
        <f>$C72/COUNTA($B$3:$B$63)</f>
        <v>0.16393442622950818</v>
      </c>
      <c r="G72" s="34">
        <v>2020</v>
      </c>
      <c r="H72" s="34">
        <f>COUNTIFS($J$3:$J$63,"&gt;=01/2020",$J$3:$J$63,"&lt;01/2021")</f>
        <v>15</v>
      </c>
      <c r="I72" s="31">
        <f>I71-H72</f>
        <v>43</v>
      </c>
    </row>
    <row r="73" spans="1:10" x14ac:dyDescent="0.25">
      <c r="B73" s="40" t="s">
        <v>87</v>
      </c>
      <c r="C73" s="41">
        <f>SUM(C70:C72)</f>
        <v>61</v>
      </c>
      <c r="D73" s="30">
        <f>SUM(D70:D72)</f>
        <v>1</v>
      </c>
      <c r="G73" s="34">
        <v>2021</v>
      </c>
      <c r="H73" s="34">
        <f>COUNTIFS($J$3:$J$63,"&gt;=01/2021",$J$3:$J$63,"&lt;01/2022")</f>
        <v>17</v>
      </c>
      <c r="I73" s="31">
        <f t="shared" ref="I73:I78" si="4">I72-H73</f>
        <v>26</v>
      </c>
    </row>
    <row r="74" spans="1:10" x14ac:dyDescent="0.25">
      <c r="G74" s="34">
        <v>2022</v>
      </c>
      <c r="H74" s="34">
        <f>COUNTIFS($J$3:$J$63,"&gt;=01/2022",$J$3:$J$63,"&lt;01/2023")</f>
        <v>9</v>
      </c>
      <c r="I74" s="31">
        <f t="shared" si="4"/>
        <v>17</v>
      </c>
    </row>
    <row r="75" spans="1:10" x14ac:dyDescent="0.25">
      <c r="G75" s="34">
        <v>2023</v>
      </c>
      <c r="H75" s="34">
        <f>COUNTIFS($J$3:$J$63,"&gt;=01/2023",$J$3:$J$63,"&lt;01/2024")</f>
        <v>2</v>
      </c>
      <c r="I75" s="31">
        <f t="shared" si="4"/>
        <v>15</v>
      </c>
    </row>
    <row r="76" spans="1:10" x14ac:dyDescent="0.25">
      <c r="B76" s="98" t="s">
        <v>83</v>
      </c>
      <c r="C76" s="98"/>
      <c r="D76" s="34">
        <f t="array" ref="D76">SUM(IF($F$3:$F$63&lt;&gt;"",0,IF($E$3:$E$63&lt;&gt;"",IF($D$3:$D$63&lt;&gt;"",IF($E$3:$E$63&gt;$D$3:$D$63,1,0),0),0)))</f>
        <v>50</v>
      </c>
      <c r="G76" s="34">
        <v>2024</v>
      </c>
      <c r="H76" s="34">
        <f>COUNTIFS($J$3:$J$63,"&gt;=01/2024",$J$3:$J$63,"&lt;01/2025")</f>
        <v>14</v>
      </c>
      <c r="I76" s="31">
        <f t="shared" si="4"/>
        <v>1</v>
      </c>
    </row>
    <row r="77" spans="1:10" x14ac:dyDescent="0.25">
      <c r="G77" s="34">
        <v>2025</v>
      </c>
      <c r="H77" s="34">
        <f>COUNTIFS($J$3:$J$63,"&gt;=01/2025",$J$3:$J$63,"&lt;01/2026")</f>
        <v>1</v>
      </c>
      <c r="I77" s="31">
        <f t="shared" si="4"/>
        <v>0</v>
      </c>
    </row>
    <row r="78" spans="1:10" x14ac:dyDescent="0.25">
      <c r="G78" s="34" t="s">
        <v>90</v>
      </c>
      <c r="H78" s="34">
        <f>COUNTIF($J$3:$J$63,"&gt;=01/2026")</f>
        <v>0</v>
      </c>
      <c r="I78" s="31">
        <f t="shared" si="4"/>
        <v>0</v>
      </c>
    </row>
    <row r="79" spans="1:10" x14ac:dyDescent="0.25">
      <c r="G79" s="32" t="s">
        <v>87</v>
      </c>
      <c r="H79" s="32">
        <f>SUM(H71:H78)</f>
        <v>61</v>
      </c>
      <c r="I79" s="31"/>
    </row>
  </sheetData>
  <mergeCells count="4">
    <mergeCell ref="B1:J1"/>
    <mergeCell ref="B69:D69"/>
    <mergeCell ref="G69:I69"/>
    <mergeCell ref="B76:C76"/>
  </mergeCells>
  <conditionalFormatting sqref="K7 A3:J63">
    <cfRule type="expression" dxfId="21" priority="4">
      <formula>$A3="Revisar"</formula>
    </cfRule>
    <cfRule type="expression" dxfId="20" priority="5">
      <formula>$A3="OK"</formula>
    </cfRule>
    <cfRule type="expression" dxfId="19" priority="6">
      <formula>$A3="Atualizar"</formula>
    </cfRule>
  </conditionalFormatting>
  <dataValidations count="1">
    <dataValidation type="list" allowBlank="1" showInputMessage="1" showErrorMessage="1" sqref="A2:A63">
      <formula1>$L$3:$L$5</formula1>
    </dataValidation>
  </dataValidations>
  <pageMargins left="0.39370078740157483" right="0.39370078740157483" top="0.39370078740157483" bottom="0.39370078740157483" header="0" footer="0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O67"/>
  <sheetViews>
    <sheetView showWhiteSpace="0" zoomScaleNormal="100" workbookViewId="0">
      <selection activeCell="F2" sqref="F2:F4"/>
    </sheetView>
  </sheetViews>
  <sheetFormatPr defaultRowHeight="15.75" x14ac:dyDescent="0.25"/>
  <cols>
    <col min="1" max="1" width="3" style="6" bestFit="1" customWidth="1"/>
    <col min="2" max="2" width="26.5703125" style="10" customWidth="1"/>
    <col min="3" max="3" width="22.85546875" style="16" customWidth="1"/>
    <col min="4" max="4" width="22.28515625" style="10" customWidth="1"/>
    <col min="5" max="5" width="28.140625" style="10" customWidth="1"/>
    <col min="6" max="6" width="30" style="6" customWidth="1"/>
    <col min="7" max="7" width="7.7109375" style="6" customWidth="1"/>
    <col min="8" max="16384" width="9.140625" style="6"/>
  </cols>
  <sheetData>
    <row r="1" spans="1:7" ht="24.75" customHeight="1" x14ac:dyDescent="0.25">
      <c r="A1" s="106" t="s">
        <v>99</v>
      </c>
      <c r="B1" s="106"/>
      <c r="C1" s="106"/>
      <c r="D1" s="106"/>
      <c r="E1" s="106"/>
      <c r="F1" s="106"/>
    </row>
    <row r="2" spans="1:7" s="8" customFormat="1" ht="30.75" thickBot="1" x14ac:dyDescent="0.3">
      <c r="A2" s="47"/>
      <c r="B2" s="48" t="s">
        <v>100</v>
      </c>
      <c r="C2" s="48" t="s">
        <v>101</v>
      </c>
      <c r="D2" s="48" t="s">
        <v>102</v>
      </c>
      <c r="E2" s="48" t="s">
        <v>14</v>
      </c>
      <c r="F2" s="48" t="s">
        <v>22</v>
      </c>
    </row>
    <row r="3" spans="1:7" ht="16.5" thickTop="1" x14ac:dyDescent="0.25">
      <c r="A3" s="49">
        <v>1</v>
      </c>
      <c r="B3" s="50" t="s">
        <v>35</v>
      </c>
      <c r="C3" s="51" t="s">
        <v>9</v>
      </c>
      <c r="D3" s="51">
        <v>5.7000000000000002E-3</v>
      </c>
      <c r="E3" s="52">
        <v>27775.86</v>
      </c>
      <c r="F3" s="53">
        <v>44469</v>
      </c>
    </row>
    <row r="4" spans="1:7" x14ac:dyDescent="0.25">
      <c r="A4" s="54">
        <v>2</v>
      </c>
      <c r="B4" s="50" t="s">
        <v>36</v>
      </c>
      <c r="C4" s="51" t="s">
        <v>9</v>
      </c>
      <c r="D4" s="51">
        <v>1.2999999999999999E-3</v>
      </c>
      <c r="E4" s="52">
        <v>2622.92</v>
      </c>
      <c r="F4" s="53">
        <v>43861</v>
      </c>
    </row>
    <row r="5" spans="1:7" x14ac:dyDescent="0.25">
      <c r="A5" s="49">
        <v>3</v>
      </c>
      <c r="B5" s="50" t="s">
        <v>37</v>
      </c>
      <c r="C5" s="51" t="s">
        <v>9</v>
      </c>
      <c r="D5" s="51">
        <v>2.5899999999999999E-2</v>
      </c>
      <c r="E5" s="52">
        <v>42986.65</v>
      </c>
      <c r="F5" s="53">
        <v>43921</v>
      </c>
    </row>
    <row r="6" spans="1:7" x14ac:dyDescent="0.25">
      <c r="A6" s="55">
        <v>4</v>
      </c>
      <c r="B6" s="56" t="s">
        <v>16</v>
      </c>
      <c r="C6" s="57" t="s">
        <v>15</v>
      </c>
      <c r="D6" s="57">
        <v>3.1699999999999999E-2</v>
      </c>
      <c r="E6" s="58">
        <v>364000</v>
      </c>
      <c r="F6" s="59">
        <v>45627</v>
      </c>
    </row>
    <row r="7" spans="1:7" x14ac:dyDescent="0.25">
      <c r="A7" s="49">
        <v>5</v>
      </c>
      <c r="B7" s="50" t="s">
        <v>38</v>
      </c>
      <c r="C7" s="51" t="s">
        <v>9</v>
      </c>
      <c r="D7" s="51">
        <v>2.2300000000000002E-3</v>
      </c>
      <c r="E7" s="52">
        <v>5925.5556944444443</v>
      </c>
      <c r="F7" s="53">
        <v>45657</v>
      </c>
      <c r="G7" s="46"/>
    </row>
    <row r="8" spans="1:7" x14ac:dyDescent="0.25">
      <c r="A8" s="54">
        <v>6</v>
      </c>
      <c r="B8" s="50" t="s">
        <v>39</v>
      </c>
      <c r="C8" s="51" t="s">
        <v>9</v>
      </c>
      <c r="D8" s="51">
        <v>3.2000000000000002E-3</v>
      </c>
      <c r="E8" s="52">
        <v>10497.46</v>
      </c>
      <c r="F8" s="53">
        <v>44439</v>
      </c>
    </row>
    <row r="9" spans="1:7" x14ac:dyDescent="0.25">
      <c r="A9" s="49">
        <v>7</v>
      </c>
      <c r="B9" s="50" t="s">
        <v>40</v>
      </c>
      <c r="C9" s="51" t="s">
        <v>9</v>
      </c>
      <c r="D9" s="51">
        <v>9.4163029851287595E-3</v>
      </c>
      <c r="E9" s="52">
        <v>28245.759999999998</v>
      </c>
      <c r="F9" s="53">
        <v>44104</v>
      </c>
    </row>
    <row r="10" spans="1:7" x14ac:dyDescent="0.25">
      <c r="A10" s="54">
        <v>8</v>
      </c>
      <c r="B10" s="50" t="s">
        <v>41</v>
      </c>
      <c r="C10" s="51" t="s">
        <v>9</v>
      </c>
      <c r="D10" s="51">
        <v>4.3E-3</v>
      </c>
      <c r="E10" s="52">
        <v>33937.919999999998</v>
      </c>
      <c r="F10" s="53">
        <v>44347</v>
      </c>
    </row>
    <row r="11" spans="1:7" x14ac:dyDescent="0.25">
      <c r="A11" s="49">
        <v>9</v>
      </c>
      <c r="B11" s="50" t="s">
        <v>42</v>
      </c>
      <c r="C11" s="51" t="s">
        <v>9</v>
      </c>
      <c r="D11" s="51">
        <v>4.8999999999999998E-3</v>
      </c>
      <c r="E11" s="52">
        <v>74757.31</v>
      </c>
      <c r="F11" s="53">
        <v>45657</v>
      </c>
    </row>
    <row r="12" spans="1:7" x14ac:dyDescent="0.25">
      <c r="A12" s="54">
        <v>10</v>
      </c>
      <c r="B12" s="50" t="s">
        <v>43</v>
      </c>
      <c r="C12" s="51" t="s">
        <v>9</v>
      </c>
      <c r="D12" s="51">
        <v>0.01</v>
      </c>
      <c r="E12" s="52">
        <v>308603.75</v>
      </c>
      <c r="F12" s="53">
        <v>44286</v>
      </c>
    </row>
    <row r="13" spans="1:7" x14ac:dyDescent="0.25">
      <c r="A13" s="49">
        <v>11</v>
      </c>
      <c r="B13" s="50" t="s">
        <v>44</v>
      </c>
      <c r="C13" s="51" t="s">
        <v>9</v>
      </c>
      <c r="D13" s="51">
        <v>6.0000000000000001E-3</v>
      </c>
      <c r="E13" s="52">
        <v>92493.870972222227</v>
      </c>
      <c r="F13" s="53">
        <v>45657</v>
      </c>
    </row>
    <row r="14" spans="1:7" x14ac:dyDescent="0.25">
      <c r="A14" s="54">
        <v>12</v>
      </c>
      <c r="B14" s="50" t="s">
        <v>45</v>
      </c>
      <c r="C14" s="51" t="s">
        <v>9</v>
      </c>
      <c r="D14" s="51">
        <v>2.0210698856246136E-2</v>
      </c>
      <c r="E14" s="52">
        <v>46166.116764999992</v>
      </c>
      <c r="F14" s="53">
        <v>44408</v>
      </c>
    </row>
    <row r="15" spans="1:7" s="17" customFormat="1" x14ac:dyDescent="0.25">
      <c r="A15" s="49">
        <v>13</v>
      </c>
      <c r="B15" s="50" t="s">
        <v>0</v>
      </c>
      <c r="C15" s="51" t="s">
        <v>9</v>
      </c>
      <c r="D15" s="51">
        <v>6.6E-3</v>
      </c>
      <c r="E15" s="52">
        <v>74216.8956730707</v>
      </c>
      <c r="F15" s="53">
        <v>44012</v>
      </c>
    </row>
    <row r="16" spans="1:7" s="17" customFormat="1" x14ac:dyDescent="0.25">
      <c r="A16" s="54">
        <v>14</v>
      </c>
      <c r="B16" s="50" t="s">
        <v>1</v>
      </c>
      <c r="C16" s="51" t="s">
        <v>9</v>
      </c>
      <c r="D16" s="51">
        <v>4.1000000000000003E-3</v>
      </c>
      <c r="E16" s="52">
        <v>24475.037008833337</v>
      </c>
      <c r="F16" s="53">
        <v>44286</v>
      </c>
    </row>
    <row r="17" spans="1:6" x14ac:dyDescent="0.25">
      <c r="A17" s="49">
        <v>15</v>
      </c>
      <c r="B17" s="50" t="s">
        <v>46</v>
      </c>
      <c r="C17" s="51" t="s">
        <v>9</v>
      </c>
      <c r="D17" s="51">
        <v>3.0999999999999999E-3</v>
      </c>
      <c r="E17" s="52">
        <v>4995.51</v>
      </c>
      <c r="F17" s="53">
        <v>44227</v>
      </c>
    </row>
    <row r="18" spans="1:6" x14ac:dyDescent="0.25">
      <c r="A18" s="54">
        <v>16</v>
      </c>
      <c r="B18" s="50" t="s">
        <v>47</v>
      </c>
      <c r="C18" s="51" t="s">
        <v>9</v>
      </c>
      <c r="D18" s="51">
        <v>1.09E-2</v>
      </c>
      <c r="E18" s="52">
        <v>613308.49</v>
      </c>
      <c r="F18" s="53">
        <v>43830</v>
      </c>
    </row>
    <row r="19" spans="1:6" x14ac:dyDescent="0.25">
      <c r="A19" s="49">
        <v>17</v>
      </c>
      <c r="B19" s="50" t="s">
        <v>48</v>
      </c>
      <c r="C19" s="51" t="s">
        <v>9</v>
      </c>
      <c r="D19" s="51">
        <v>3.0800000000000001E-2</v>
      </c>
      <c r="E19" s="52">
        <v>115826.78</v>
      </c>
      <c r="F19" s="53">
        <v>45657</v>
      </c>
    </row>
    <row r="20" spans="1:6" x14ac:dyDescent="0.25">
      <c r="A20" s="55">
        <v>18</v>
      </c>
      <c r="B20" s="56" t="s">
        <v>92</v>
      </c>
      <c r="C20" s="57" t="s">
        <v>15</v>
      </c>
      <c r="D20" s="57">
        <v>1.41E-2</v>
      </c>
      <c r="E20" s="58">
        <v>785194.7</v>
      </c>
      <c r="F20" s="59">
        <v>45657</v>
      </c>
    </row>
    <row r="21" spans="1:6" s="17" customFormat="1" x14ac:dyDescent="0.25">
      <c r="A21" s="49">
        <v>19</v>
      </c>
      <c r="B21" s="50" t="s">
        <v>2</v>
      </c>
      <c r="C21" s="51" t="s">
        <v>9</v>
      </c>
      <c r="D21" s="51">
        <v>1.17E-2</v>
      </c>
      <c r="E21" s="52">
        <v>42654.720000000001</v>
      </c>
      <c r="F21" s="53">
        <v>44408</v>
      </c>
    </row>
    <row r="22" spans="1:6" x14ac:dyDescent="0.25">
      <c r="A22" s="54">
        <v>20</v>
      </c>
      <c r="B22" s="50" t="s">
        <v>49</v>
      </c>
      <c r="C22" s="51" t="s">
        <v>9</v>
      </c>
      <c r="D22" s="51">
        <v>1.29E-2</v>
      </c>
      <c r="E22" s="52">
        <v>19474</v>
      </c>
      <c r="F22" s="53">
        <v>45596</v>
      </c>
    </row>
    <row r="23" spans="1:6" x14ac:dyDescent="0.25">
      <c r="A23" s="60">
        <v>21</v>
      </c>
      <c r="B23" s="56" t="s">
        <v>93</v>
      </c>
      <c r="C23" s="57" t="s">
        <v>15</v>
      </c>
      <c r="D23" s="57">
        <v>0.01</v>
      </c>
      <c r="E23" s="58">
        <v>18862922.741903059</v>
      </c>
      <c r="F23" s="59">
        <v>45657</v>
      </c>
    </row>
    <row r="24" spans="1:6" x14ac:dyDescent="0.25">
      <c r="A24" s="54">
        <v>22</v>
      </c>
      <c r="B24" s="50" t="s">
        <v>50</v>
      </c>
      <c r="C24" s="51" t="s">
        <v>9</v>
      </c>
      <c r="D24" s="51">
        <v>1.4500000000000001E-2</v>
      </c>
      <c r="E24" s="52">
        <v>1959844.62</v>
      </c>
      <c r="F24" s="53">
        <v>44773</v>
      </c>
    </row>
    <row r="25" spans="1:6" x14ac:dyDescent="0.25">
      <c r="A25" s="49">
        <v>23</v>
      </c>
      <c r="B25" s="50" t="s">
        <v>51</v>
      </c>
      <c r="C25" s="51" t="s">
        <v>9</v>
      </c>
      <c r="D25" s="51">
        <v>6.6E-3</v>
      </c>
      <c r="E25" s="52">
        <v>15410.260640500001</v>
      </c>
      <c r="F25" s="53">
        <v>44742</v>
      </c>
    </row>
    <row r="26" spans="1:6" x14ac:dyDescent="0.25">
      <c r="A26" s="54">
        <v>24</v>
      </c>
      <c r="B26" s="50" t="s">
        <v>52</v>
      </c>
      <c r="C26" s="51" t="s">
        <v>9</v>
      </c>
      <c r="D26" s="51">
        <v>8.8000000000000005E-3</v>
      </c>
      <c r="E26" s="52">
        <v>114700.57</v>
      </c>
      <c r="F26" s="53">
        <v>44439</v>
      </c>
    </row>
    <row r="27" spans="1:6" x14ac:dyDescent="0.25">
      <c r="A27" s="49">
        <v>25</v>
      </c>
      <c r="B27" s="50" t="s">
        <v>53</v>
      </c>
      <c r="C27" s="51" t="s">
        <v>9</v>
      </c>
      <c r="D27" s="51">
        <v>1.7500000000000002E-2</v>
      </c>
      <c r="E27" s="52">
        <v>69585.48</v>
      </c>
      <c r="F27" s="53">
        <v>44165</v>
      </c>
    </row>
    <row r="28" spans="1:6" x14ac:dyDescent="0.25">
      <c r="A28" s="54">
        <v>26</v>
      </c>
      <c r="B28" s="50" t="s">
        <v>54</v>
      </c>
      <c r="C28" s="51" t="s">
        <v>9</v>
      </c>
      <c r="D28" s="51">
        <v>1.66E-2</v>
      </c>
      <c r="E28" s="52">
        <v>178744.51</v>
      </c>
      <c r="F28" s="53">
        <v>44985</v>
      </c>
    </row>
    <row r="29" spans="1:6" x14ac:dyDescent="0.25">
      <c r="A29" s="49">
        <v>27</v>
      </c>
      <c r="B29" s="50" t="s">
        <v>55</v>
      </c>
      <c r="C29" s="51" t="s">
        <v>9</v>
      </c>
      <c r="D29" s="51">
        <v>1.5599999999999999E-2</v>
      </c>
      <c r="E29" s="52">
        <v>16411.59</v>
      </c>
      <c r="F29" s="53">
        <v>44135</v>
      </c>
    </row>
    <row r="30" spans="1:6" x14ac:dyDescent="0.25">
      <c r="A30" s="54">
        <v>28</v>
      </c>
      <c r="B30" s="50" t="s">
        <v>56</v>
      </c>
      <c r="C30" s="51" t="s">
        <v>9</v>
      </c>
      <c r="D30" s="51">
        <v>1.0999999999999999E-2</v>
      </c>
      <c r="E30" s="52">
        <v>57463.94</v>
      </c>
      <c r="F30" s="53">
        <v>44804</v>
      </c>
    </row>
    <row r="31" spans="1:6" x14ac:dyDescent="0.25">
      <c r="A31" s="49">
        <v>29</v>
      </c>
      <c r="B31" s="50" t="s">
        <v>57</v>
      </c>
      <c r="C31" s="51" t="s">
        <v>9</v>
      </c>
      <c r="D31" s="51">
        <v>1.2800000000000001E-2</v>
      </c>
      <c r="E31" s="52">
        <v>31456.43</v>
      </c>
      <c r="F31" s="53">
        <v>44865</v>
      </c>
    </row>
    <row r="32" spans="1:6" x14ac:dyDescent="0.25">
      <c r="A32" s="54">
        <v>30</v>
      </c>
      <c r="B32" s="50" t="s">
        <v>58</v>
      </c>
      <c r="C32" s="51" t="s">
        <v>9</v>
      </c>
      <c r="D32" s="51">
        <v>1.89E-2</v>
      </c>
      <c r="E32" s="52">
        <v>91582.14</v>
      </c>
      <c r="F32" s="53">
        <v>45107</v>
      </c>
    </row>
    <row r="33" spans="1:6" x14ac:dyDescent="0.25">
      <c r="A33" s="49">
        <v>31</v>
      </c>
      <c r="B33" s="50" t="s">
        <v>59</v>
      </c>
      <c r="C33" s="51" t="s">
        <v>9</v>
      </c>
      <c r="D33" s="51">
        <v>1.2800000000000001E-2</v>
      </c>
      <c r="E33" s="52">
        <v>522693.03</v>
      </c>
      <c r="F33" s="53">
        <v>44592</v>
      </c>
    </row>
    <row r="34" spans="1:6" x14ac:dyDescent="0.25">
      <c r="A34" s="54">
        <v>32</v>
      </c>
      <c r="B34" s="50" t="s">
        <v>60</v>
      </c>
      <c r="C34" s="51" t="s">
        <v>9</v>
      </c>
      <c r="D34" s="51">
        <v>3.4799999999999998E-2</v>
      </c>
      <c r="E34" s="52">
        <v>126950.25</v>
      </c>
      <c r="F34" s="53">
        <v>44620</v>
      </c>
    </row>
    <row r="35" spans="1:6" x14ac:dyDescent="0.25">
      <c r="A35" s="49">
        <v>33</v>
      </c>
      <c r="B35" s="50" t="s">
        <v>61</v>
      </c>
      <c r="C35" s="51" t="s">
        <v>9</v>
      </c>
      <c r="D35" s="51">
        <v>7.9000000000000008E-3</v>
      </c>
      <c r="E35" s="52">
        <v>19130.62</v>
      </c>
      <c r="F35" s="53">
        <v>44377</v>
      </c>
    </row>
    <row r="36" spans="1:6" x14ac:dyDescent="0.25">
      <c r="A36" s="54">
        <v>34</v>
      </c>
      <c r="B36" s="50" t="s">
        <v>62</v>
      </c>
      <c r="C36" s="51" t="s">
        <v>9</v>
      </c>
      <c r="D36" s="51">
        <v>8.3000000000000001E-3</v>
      </c>
      <c r="E36" s="52">
        <v>16088.55</v>
      </c>
      <c r="F36" s="53">
        <v>44255</v>
      </c>
    </row>
    <row r="37" spans="1:6" x14ac:dyDescent="0.25">
      <c r="A37" s="49">
        <v>35</v>
      </c>
      <c r="B37" s="50" t="s">
        <v>63</v>
      </c>
      <c r="C37" s="51" t="s">
        <v>9</v>
      </c>
      <c r="D37" s="51">
        <v>5.0000000000000001E-3</v>
      </c>
      <c r="E37" s="52">
        <v>30314.09</v>
      </c>
      <c r="F37" s="53">
        <v>45657</v>
      </c>
    </row>
    <row r="38" spans="1:6" x14ac:dyDescent="0.25">
      <c r="A38" s="54">
        <v>36</v>
      </c>
      <c r="B38" s="50" t="s">
        <v>64</v>
      </c>
      <c r="C38" s="51" t="s">
        <v>9</v>
      </c>
      <c r="D38" s="51">
        <v>7.4999999999999997E-3</v>
      </c>
      <c r="E38" s="52">
        <v>17560.18</v>
      </c>
      <c r="F38" s="53">
        <v>44500</v>
      </c>
    </row>
    <row r="39" spans="1:6" x14ac:dyDescent="0.25">
      <c r="A39" s="49">
        <v>37</v>
      </c>
      <c r="B39" s="50" t="s">
        <v>65</v>
      </c>
      <c r="C39" s="51" t="s">
        <v>9</v>
      </c>
      <c r="D39" s="51">
        <v>1.35E-2</v>
      </c>
      <c r="E39" s="52">
        <v>62428.33</v>
      </c>
      <c r="F39" s="53">
        <v>44530</v>
      </c>
    </row>
    <row r="40" spans="1:6" x14ac:dyDescent="0.25">
      <c r="A40" s="54">
        <v>38</v>
      </c>
      <c r="B40" s="50" t="s">
        <v>66</v>
      </c>
      <c r="C40" s="51" t="s">
        <v>9</v>
      </c>
      <c r="D40" s="51">
        <v>8.2000000000000007E-3</v>
      </c>
      <c r="E40" s="52">
        <v>49826.44</v>
      </c>
      <c r="F40" s="53">
        <v>44742</v>
      </c>
    </row>
    <row r="41" spans="1:6" x14ac:dyDescent="0.25">
      <c r="A41" s="49">
        <v>39</v>
      </c>
      <c r="B41" s="50" t="s">
        <v>67</v>
      </c>
      <c r="C41" s="51" t="s">
        <v>9</v>
      </c>
      <c r="D41" s="51">
        <v>1.2800000000000001E-2</v>
      </c>
      <c r="E41" s="52">
        <v>65720.22</v>
      </c>
      <c r="F41" s="53">
        <v>44196</v>
      </c>
    </row>
    <row r="42" spans="1:6" s="17" customFormat="1" x14ac:dyDescent="0.25">
      <c r="A42" s="54">
        <v>40</v>
      </c>
      <c r="B42" s="50" t="s">
        <v>24</v>
      </c>
      <c r="C42" s="51" t="s">
        <v>9</v>
      </c>
      <c r="D42" s="51">
        <v>1.2500000000000001E-2</v>
      </c>
      <c r="E42" s="52">
        <v>14834.36</v>
      </c>
      <c r="F42" s="53">
        <v>44196</v>
      </c>
    </row>
    <row r="43" spans="1:6" x14ac:dyDescent="0.25">
      <c r="A43" s="49">
        <v>41</v>
      </c>
      <c r="B43" s="50" t="s">
        <v>68</v>
      </c>
      <c r="C43" s="51" t="s">
        <v>9</v>
      </c>
      <c r="D43" s="51">
        <v>4.7999999999999996E-3</v>
      </c>
      <c r="E43" s="52">
        <v>6266.61</v>
      </c>
      <c r="F43" s="53">
        <v>44043</v>
      </c>
    </row>
    <row r="44" spans="1:6" x14ac:dyDescent="0.25">
      <c r="A44" s="54">
        <v>42</v>
      </c>
      <c r="B44" s="50" t="s">
        <v>69</v>
      </c>
      <c r="C44" s="51" t="s">
        <v>9</v>
      </c>
      <c r="D44" s="51">
        <v>3.8E-3</v>
      </c>
      <c r="E44" s="52">
        <v>20295.650000000001</v>
      </c>
      <c r="F44" s="53">
        <v>44500</v>
      </c>
    </row>
    <row r="45" spans="1:6" x14ac:dyDescent="0.25">
      <c r="A45" s="49">
        <v>43</v>
      </c>
      <c r="B45" s="50" t="s">
        <v>70</v>
      </c>
      <c r="C45" s="51" t="s">
        <v>9</v>
      </c>
      <c r="D45" s="51">
        <v>1.5E-3</v>
      </c>
      <c r="E45" s="52">
        <v>3800.9109722222224</v>
      </c>
      <c r="F45" s="53">
        <v>45657</v>
      </c>
    </row>
    <row r="46" spans="1:6" s="17" customFormat="1" x14ac:dyDescent="0.25">
      <c r="A46" s="54">
        <v>44</v>
      </c>
      <c r="B46" s="50" t="s">
        <v>3</v>
      </c>
      <c r="C46" s="51" t="s">
        <v>9</v>
      </c>
      <c r="D46" s="51">
        <v>9.1000000000000004E-3</v>
      </c>
      <c r="E46" s="52">
        <v>16648.86</v>
      </c>
      <c r="F46" s="53">
        <v>45473</v>
      </c>
    </row>
    <row r="47" spans="1:6" x14ac:dyDescent="0.25">
      <c r="A47" s="49">
        <v>45</v>
      </c>
      <c r="B47" s="50" t="s">
        <v>71</v>
      </c>
      <c r="C47" s="51" t="s">
        <v>9</v>
      </c>
      <c r="D47" s="51">
        <v>3.1600000000000003E-2</v>
      </c>
      <c r="E47" s="52">
        <v>42299.199999999997</v>
      </c>
      <c r="F47" s="53">
        <v>44196</v>
      </c>
    </row>
    <row r="48" spans="1:6" x14ac:dyDescent="0.25">
      <c r="A48" s="54">
        <v>46</v>
      </c>
      <c r="B48" s="50" t="s">
        <v>72</v>
      </c>
      <c r="C48" s="51" t="s">
        <v>9</v>
      </c>
      <c r="D48" s="51">
        <v>3.09E-2</v>
      </c>
      <c r="E48" s="52">
        <v>114357.7</v>
      </c>
      <c r="F48" s="53">
        <v>44165</v>
      </c>
    </row>
    <row r="49" spans="1:15" x14ac:dyDescent="0.25">
      <c r="A49" s="49">
        <v>47</v>
      </c>
      <c r="B49" s="50" t="s">
        <v>73</v>
      </c>
      <c r="C49" s="51" t="s">
        <v>9</v>
      </c>
      <c r="D49" s="51">
        <v>1.9E-3</v>
      </c>
      <c r="E49" s="52">
        <v>3602.9677777777779</v>
      </c>
      <c r="F49" s="53">
        <v>45657</v>
      </c>
    </row>
    <row r="50" spans="1:15" x14ac:dyDescent="0.25">
      <c r="A50" s="54">
        <v>48</v>
      </c>
      <c r="B50" s="50" t="s">
        <v>74</v>
      </c>
      <c r="C50" s="51" t="s">
        <v>9</v>
      </c>
      <c r="D50" s="51">
        <v>6.6E-3</v>
      </c>
      <c r="E50" s="52">
        <v>14573.52</v>
      </c>
      <c r="F50" s="53">
        <v>44074</v>
      </c>
    </row>
    <row r="51" spans="1:15" s="17" customFormat="1" x14ac:dyDescent="0.25">
      <c r="A51" s="49">
        <v>49</v>
      </c>
      <c r="B51" s="50" t="s">
        <v>8</v>
      </c>
      <c r="C51" s="51" t="s">
        <v>9</v>
      </c>
      <c r="D51" s="51">
        <v>1.06E-2</v>
      </c>
      <c r="E51" s="52">
        <v>208013.76159733333</v>
      </c>
      <c r="F51" s="53">
        <v>44347</v>
      </c>
    </row>
    <row r="52" spans="1:15" x14ac:dyDescent="0.25">
      <c r="A52" s="54">
        <v>50</v>
      </c>
      <c r="B52" s="50" t="s">
        <v>75</v>
      </c>
      <c r="C52" s="51" t="s">
        <v>9</v>
      </c>
      <c r="D52" s="51">
        <v>4.8999999999999998E-3</v>
      </c>
      <c r="E52" s="52">
        <v>33488.93</v>
      </c>
      <c r="F52" s="53">
        <v>44227</v>
      </c>
    </row>
    <row r="53" spans="1:15" x14ac:dyDescent="0.25">
      <c r="A53" s="49">
        <v>51</v>
      </c>
      <c r="B53" s="50" t="s">
        <v>76</v>
      </c>
      <c r="C53" s="51" t="s">
        <v>9</v>
      </c>
      <c r="D53" s="51">
        <v>1.1000000000000001E-3</v>
      </c>
      <c r="E53" s="52">
        <v>2106.75</v>
      </c>
      <c r="F53" s="53">
        <v>43799</v>
      </c>
    </row>
    <row r="54" spans="1:15" s="17" customFormat="1" x14ac:dyDescent="0.25">
      <c r="A54" s="54">
        <v>52</v>
      </c>
      <c r="B54" s="50" t="s">
        <v>7</v>
      </c>
      <c r="C54" s="51" t="s">
        <v>9</v>
      </c>
      <c r="D54" s="51">
        <v>1.0800000000000001E-2</v>
      </c>
      <c r="E54" s="52">
        <v>52801.58</v>
      </c>
      <c r="F54" s="53">
        <v>43677</v>
      </c>
    </row>
    <row r="55" spans="1:15" x14ac:dyDescent="0.25">
      <c r="A55" s="49">
        <v>53</v>
      </c>
      <c r="B55" s="50" t="s">
        <v>77</v>
      </c>
      <c r="C55" s="51" t="s">
        <v>9</v>
      </c>
      <c r="D55" s="51">
        <v>8.6E-3</v>
      </c>
      <c r="E55" s="52">
        <v>430840.20708333334</v>
      </c>
      <c r="F55" s="53">
        <v>45657</v>
      </c>
    </row>
    <row r="56" spans="1:15" x14ac:dyDescent="0.25">
      <c r="A56" s="54">
        <v>54</v>
      </c>
      <c r="B56" s="50" t="s">
        <v>78</v>
      </c>
      <c r="C56" s="51" t="s">
        <v>9</v>
      </c>
      <c r="D56" s="51">
        <v>1.47E-2</v>
      </c>
      <c r="E56" s="52">
        <v>26063.49</v>
      </c>
      <c r="F56" s="53">
        <v>45596</v>
      </c>
    </row>
    <row r="57" spans="1:15" x14ac:dyDescent="0.25">
      <c r="A57" s="49">
        <v>55</v>
      </c>
      <c r="B57" s="50" t="s">
        <v>79</v>
      </c>
      <c r="C57" s="51" t="s">
        <v>9</v>
      </c>
      <c r="D57" s="51">
        <v>2.4E-2</v>
      </c>
      <c r="E57" s="52">
        <v>148321.74</v>
      </c>
      <c r="F57" s="53">
        <v>44196</v>
      </c>
    </row>
    <row r="58" spans="1:15" s="17" customFormat="1" x14ac:dyDescent="0.25">
      <c r="A58" s="54">
        <v>56</v>
      </c>
      <c r="B58" s="50" t="s">
        <v>4</v>
      </c>
      <c r="C58" s="51" t="s">
        <v>9</v>
      </c>
      <c r="D58" s="51">
        <v>1.9099999999999999E-2</v>
      </c>
      <c r="E58" s="52">
        <v>61960.624504583335</v>
      </c>
      <c r="F58" s="53">
        <v>44104</v>
      </c>
    </row>
    <row r="59" spans="1:15" s="17" customFormat="1" x14ac:dyDescent="0.25">
      <c r="A59" s="49">
        <v>57</v>
      </c>
      <c r="B59" s="50" t="s">
        <v>5</v>
      </c>
      <c r="C59" s="51" t="s">
        <v>9</v>
      </c>
      <c r="D59" s="51">
        <v>5.5999999999999999E-3</v>
      </c>
      <c r="E59" s="52">
        <v>24908.880000000001</v>
      </c>
      <c r="F59" s="53">
        <v>44651</v>
      </c>
      <c r="G59" s="15"/>
    </row>
    <row r="60" spans="1:15" s="17" customFormat="1" x14ac:dyDescent="0.25">
      <c r="A60" s="54">
        <v>58</v>
      </c>
      <c r="B60" s="50" t="s">
        <v>6</v>
      </c>
      <c r="C60" s="51" t="s">
        <v>9</v>
      </c>
      <c r="D60" s="51">
        <v>1.6400000000000001E-2</v>
      </c>
      <c r="E60" s="52">
        <v>24595.56</v>
      </c>
      <c r="F60" s="53">
        <v>45322</v>
      </c>
    </row>
    <row r="61" spans="1:15" x14ac:dyDescent="0.25">
      <c r="A61" s="49">
        <v>59</v>
      </c>
      <c r="B61" s="50" t="s">
        <v>80</v>
      </c>
      <c r="C61" s="51" t="s">
        <v>9</v>
      </c>
      <c r="D61" s="51">
        <v>6.0000000000000001E-3</v>
      </c>
      <c r="E61" s="52">
        <v>36230.39</v>
      </c>
      <c r="F61" s="53">
        <v>44377</v>
      </c>
      <c r="J61" s="105"/>
      <c r="K61" s="105"/>
      <c r="L61" s="105"/>
      <c r="M61" s="105"/>
      <c r="N61" s="105"/>
      <c r="O61" s="105"/>
    </row>
    <row r="62" spans="1:15" x14ac:dyDescent="0.25">
      <c r="A62" s="54">
        <v>60</v>
      </c>
      <c r="B62" s="50" t="s">
        <v>81</v>
      </c>
      <c r="C62" s="51" t="s">
        <v>9</v>
      </c>
      <c r="D62" s="51">
        <v>3.6900000000000002E-2</v>
      </c>
      <c r="E62" s="52">
        <v>761460.99</v>
      </c>
      <c r="F62" s="53">
        <v>44012</v>
      </c>
    </row>
    <row r="63" spans="1:15" x14ac:dyDescent="0.25">
      <c r="A63" s="61">
        <v>61</v>
      </c>
      <c r="B63" s="50" t="s">
        <v>82</v>
      </c>
      <c r="C63" s="51" t="s">
        <v>9</v>
      </c>
      <c r="D63" s="51">
        <v>2.3E-2</v>
      </c>
      <c r="E63" s="52">
        <v>127821.99</v>
      </c>
      <c r="F63" s="53">
        <v>44651</v>
      </c>
    </row>
    <row r="64" spans="1:15" s="45" customFormat="1" ht="12" x14ac:dyDescent="0.2">
      <c r="A64" s="107" t="s">
        <v>94</v>
      </c>
      <c r="B64" s="107"/>
      <c r="C64" s="107"/>
      <c r="D64" s="107"/>
      <c r="E64" s="107"/>
      <c r="F64" s="107"/>
    </row>
    <row r="65" spans="1:6" s="45" customFormat="1" ht="12" x14ac:dyDescent="0.2">
      <c r="A65" s="108" t="s">
        <v>95</v>
      </c>
      <c r="B65" s="108"/>
      <c r="C65" s="108"/>
      <c r="D65" s="108"/>
      <c r="E65" s="108"/>
      <c r="F65" s="108"/>
    </row>
    <row r="66" spans="1:6" s="45" customFormat="1" ht="12" x14ac:dyDescent="0.2">
      <c r="A66" s="108" t="s">
        <v>96</v>
      </c>
      <c r="B66" s="108"/>
      <c r="C66" s="108"/>
      <c r="D66" s="108"/>
      <c r="E66" s="108"/>
      <c r="F66" s="108"/>
    </row>
    <row r="67" spans="1:6" s="10" customFormat="1" ht="15" x14ac:dyDescent="0.25">
      <c r="B67" s="26"/>
      <c r="C67" s="27"/>
      <c r="E67" s="26"/>
      <c r="F67" s="26"/>
    </row>
  </sheetData>
  <mergeCells count="5">
    <mergeCell ref="A1:F1"/>
    <mergeCell ref="J61:O61"/>
    <mergeCell ref="A64:F64"/>
    <mergeCell ref="A65:F65"/>
    <mergeCell ref="A66:F66"/>
  </mergeCells>
  <conditionalFormatting sqref="G7 C3:F63">
    <cfRule type="expression" dxfId="18" priority="10">
      <formula>#REF!="Revisar"</formula>
    </cfRule>
    <cfRule type="expression" dxfId="17" priority="11">
      <formula>#REF!="OK"</formula>
    </cfRule>
    <cfRule type="expression" dxfId="16" priority="12">
      <formula>#REF!="Atualizar"</formula>
    </cfRule>
  </conditionalFormatting>
  <conditionalFormatting sqref="B3:B63">
    <cfRule type="expression" dxfId="15" priority="7">
      <formula>#REF!="Revisar"</formula>
    </cfRule>
    <cfRule type="expression" dxfId="14" priority="8">
      <formula>#REF!="OK"</formula>
    </cfRule>
    <cfRule type="expression" dxfId="13" priority="9">
      <formula>#REF!="Atualizar"</formula>
    </cfRule>
  </conditionalFormatting>
  <conditionalFormatting sqref="A7:A63">
    <cfRule type="expression" dxfId="12" priority="1">
      <formula>#REF!="Revisar"</formula>
    </cfRule>
    <cfRule type="expression" dxfId="11" priority="2">
      <formula>#REF!="OK"</formula>
    </cfRule>
    <cfRule type="expression" dxfId="10" priority="3">
      <formula>#REF!="Atualizar"</formula>
    </cfRule>
  </conditionalFormatting>
  <conditionalFormatting sqref="A3:A6">
    <cfRule type="expression" dxfId="9" priority="4">
      <formula>#REF!="Revisar"</formula>
    </cfRule>
    <cfRule type="expression" dxfId="8" priority="5">
      <formula>#REF!="OK"</formula>
    </cfRule>
    <cfRule type="expression" dxfId="7" priority="6">
      <formula>#REF!="Atualizar"</formula>
    </cfRule>
  </conditionalFormatting>
  <printOptions horizontalCentered="1" verticalCentered="1"/>
  <pageMargins left="0.39370078740157483" right="0.39370078740157483" top="0.39370078740157483" bottom="0.31496062992125984" header="0" footer="0"/>
  <pageSetup paperSize="9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D14"/>
  <sheetViews>
    <sheetView workbookViewId="0">
      <selection activeCell="B3" sqref="B3"/>
    </sheetView>
  </sheetViews>
  <sheetFormatPr defaultRowHeight="15" x14ac:dyDescent="0.25"/>
  <cols>
    <col min="1" max="1" width="61" bestFit="1" customWidth="1"/>
    <col min="2" max="2" width="18.140625" bestFit="1" customWidth="1"/>
    <col min="4" max="4" width="18.140625" bestFit="1" customWidth="1"/>
  </cols>
  <sheetData>
    <row r="1" spans="1:4" x14ac:dyDescent="0.25">
      <c r="A1" t="s">
        <v>152</v>
      </c>
      <c r="B1" s="2">
        <v>22472354.289999995</v>
      </c>
      <c r="D1" s="5"/>
    </row>
    <row r="2" spans="1:4" x14ac:dyDescent="0.25">
      <c r="A2" t="s">
        <v>151</v>
      </c>
      <c r="B2">
        <v>48</v>
      </c>
      <c r="D2" s="2"/>
    </row>
    <row r="3" spans="1:4" x14ac:dyDescent="0.25">
      <c r="A3" t="s">
        <v>19</v>
      </c>
      <c r="B3" s="2">
        <f>B1/B2</f>
        <v>468174.04770833324</v>
      </c>
      <c r="D3" s="2"/>
    </row>
    <row r="4" spans="1:4" x14ac:dyDescent="0.25">
      <c r="D4" s="2"/>
    </row>
    <row r="5" spans="1:4" x14ac:dyDescent="0.25">
      <c r="A5" t="s">
        <v>27</v>
      </c>
      <c r="B5" s="2">
        <v>5461373.998333334</v>
      </c>
      <c r="D5" s="2"/>
    </row>
    <row r="6" spans="1:4" x14ac:dyDescent="0.25">
      <c r="A6" t="s">
        <v>20</v>
      </c>
      <c r="B6" s="3">
        <f>B3/B5</f>
        <v>8.5724590158302194E-2</v>
      </c>
      <c r="D6" s="2"/>
    </row>
    <row r="7" spans="1:4" x14ac:dyDescent="0.25">
      <c r="A7" t="s">
        <v>134</v>
      </c>
      <c r="B7" s="3">
        <v>5.7000000000000002E-3</v>
      </c>
      <c r="D7" s="2"/>
    </row>
    <row r="8" spans="1:4" x14ac:dyDescent="0.25">
      <c r="A8" t="s">
        <v>133</v>
      </c>
      <c r="B8" s="3">
        <v>0.01</v>
      </c>
      <c r="D8" s="2"/>
    </row>
    <row r="9" spans="1:4" x14ac:dyDescent="0.25">
      <c r="A9" t="s">
        <v>21</v>
      </c>
      <c r="B9" s="2">
        <f>MAX(B6:B8)*B5</f>
        <v>468174.04770833324</v>
      </c>
      <c r="D9" s="2">
        <f>B6*B5</f>
        <v>468174.04770833324</v>
      </c>
    </row>
    <row r="10" spans="1:4" x14ac:dyDescent="0.25">
      <c r="D10" s="2"/>
    </row>
    <row r="11" spans="1:4" x14ac:dyDescent="0.25">
      <c r="D11" s="2"/>
    </row>
    <row r="12" spans="1:4" x14ac:dyDescent="0.25">
      <c r="D12" s="2"/>
    </row>
    <row r="13" spans="1:4" x14ac:dyDescent="0.25">
      <c r="D13" s="2"/>
    </row>
    <row r="14" spans="1:4" x14ac:dyDescent="0.25">
      <c r="C14" s="1"/>
      <c r="D14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Lista 2021</vt:lpstr>
      <vt:lpstr>Site 2021</vt:lpstr>
      <vt:lpstr>Lista 2020</vt:lpstr>
      <vt:lpstr>Site 2020</vt:lpstr>
      <vt:lpstr>Lista 2019</vt:lpstr>
      <vt:lpstr>Site 2019</vt:lpstr>
      <vt:lpstr>Cálculo</vt:lpstr>
      <vt:lpstr>'Site 2019'!Area_de_impressao</vt:lpstr>
      <vt:lpstr>'Lista 2019'!Titulos_de_impressao</vt:lpstr>
      <vt:lpstr>'Lista 2020'!Titulos_de_impressao</vt:lpstr>
      <vt:lpstr>'Lista 2021'!Titulos_de_impressao</vt:lpstr>
      <vt:lpstr>'Site 2019'!Titulos_de_impressao</vt:lpstr>
      <vt:lpstr>'Site 2020'!Titulos_de_impressao</vt:lpstr>
      <vt:lpstr>'Site 2021'!Titulos_de_impressao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Jorilton de Souza</cp:lastModifiedBy>
  <cp:lastPrinted>2021-01-18T17:37:34Z</cp:lastPrinted>
  <dcterms:created xsi:type="dcterms:W3CDTF">2016-12-15T19:53:50Z</dcterms:created>
  <dcterms:modified xsi:type="dcterms:W3CDTF">2021-09-02T16:28:40Z</dcterms:modified>
</cp:coreProperties>
</file>