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5 PROJOBRA\2 VARAS TRABALHISTAS\BCU_BALNEARIO CAMBORIU\2023 - REFORMA FT - LEIAUTE - PROAD 5768-23\3 - PROJETO\ORÇAMENTO\"/>
    </mc:Choice>
  </mc:AlternateContent>
  <bookViews>
    <workbookView xWindow="630" yWindow="525" windowWidth="22695" windowHeight="11445" tabRatio="605"/>
  </bookViews>
  <sheets>
    <sheet name="Orçamento Sintético" sheetId="5" r:id="rId1"/>
    <sheet name="CRONOGRAMA" sheetId="13" r:id="rId2"/>
    <sheet name="Composições" sheetId="12" r:id="rId3"/>
    <sheet name="COMP. ADM" sheetId="7" r:id="rId4"/>
    <sheet name="Memória de cálculo" sheetId="14" r:id="rId5"/>
    <sheet name="ENCARGOS SOCIAIS" sheetId="11" r:id="rId6"/>
    <sheet name="COMP_BDI" sheetId="2" r:id="rId7"/>
    <sheet name="Cotações" sheetId="15" r:id="rId8"/>
  </sheets>
  <externalReferences>
    <externalReference r:id="rId9"/>
  </externalReferences>
  <definedNames>
    <definedName name="__xlfn_BAHTTEXT">"NA()"</definedName>
    <definedName name="__xlfn_COUNTIFS">"NA()"</definedName>
    <definedName name="__xlnm._FilterDatabase_1" localSheetId="1">#REF!</definedName>
    <definedName name="__xlnm._FilterDatabase_1">#REF!</definedName>
    <definedName name="_xlnm.Print_Area" localSheetId="6">COMP_BDI!$B$3:$E$33</definedName>
    <definedName name="_xlnm.Print_Area" localSheetId="7">Cotações!$A$1:$G$33</definedName>
    <definedName name="_xlnm.Print_Area" localSheetId="1">CRONOGRAMA!$A$2:$H$32</definedName>
    <definedName name="Print_Area_0" localSheetId="6">COMP_BDI!$B$2:$E$33</definedName>
    <definedName name="Print_Area_0_0" localSheetId="6">COMP_BDI!$B$2:$E$33</definedName>
    <definedName name="sda" localSheetId="6">COMP_BDI!$B$2:$E$33</definedName>
    <definedName name="sdf" localSheetId="6">COMP_BDI!$B$2:$E$33</definedName>
    <definedName name="_xlnm.Print_Titles" localSheetId="2">Composições!$1:$4</definedName>
    <definedName name="_xlnm.Print_Titles" localSheetId="0">'Orçamento Sintético'!$1:$5</definedName>
  </definedNames>
  <calcPr calcId="152511"/>
</workbook>
</file>

<file path=xl/calcChain.xml><?xml version="1.0" encoding="utf-8"?>
<calcChain xmlns="http://schemas.openxmlformats.org/spreadsheetml/2006/main">
  <c r="K233" i="12" l="1"/>
  <c r="J233" i="12"/>
  <c r="J227" i="12" l="1"/>
  <c r="K227" i="12"/>
  <c r="M227" i="12"/>
  <c r="K82" i="5" s="1"/>
  <c r="N229" i="12"/>
  <c r="N227" i="12" s="1"/>
  <c r="M229" i="12"/>
  <c r="L229" i="12"/>
  <c r="N228" i="12"/>
  <c r="M228" i="12"/>
  <c r="O228" i="12" s="1"/>
  <c r="L228" i="12"/>
  <c r="L227" i="12" s="1"/>
  <c r="I215" i="12"/>
  <c r="J215" i="12"/>
  <c r="K215" i="12"/>
  <c r="N223" i="12"/>
  <c r="M223" i="12"/>
  <c r="L223" i="12"/>
  <c r="N222" i="12"/>
  <c r="M222" i="12"/>
  <c r="L222" i="12"/>
  <c r="N221" i="12"/>
  <c r="M221" i="12"/>
  <c r="L221" i="12"/>
  <c r="N220" i="12"/>
  <c r="M220" i="12"/>
  <c r="L220" i="12"/>
  <c r="N219" i="12"/>
  <c r="M219" i="12"/>
  <c r="O219" i="12" s="1"/>
  <c r="L219" i="12"/>
  <c r="N218" i="12"/>
  <c r="M218" i="12"/>
  <c r="L218" i="12"/>
  <c r="N217" i="12"/>
  <c r="M217" i="12"/>
  <c r="L217" i="12"/>
  <c r="N216" i="12"/>
  <c r="M216" i="12"/>
  <c r="O216" i="12" s="1"/>
  <c r="L216" i="12"/>
  <c r="I7" i="14"/>
  <c r="I6" i="14"/>
  <c r="I4" i="14"/>
  <c r="H30" i="13"/>
  <c r="H28" i="13"/>
  <c r="H26" i="13"/>
  <c r="H24" i="13"/>
  <c r="H22" i="13"/>
  <c r="H20" i="13"/>
  <c r="H18" i="13"/>
  <c r="H16" i="13"/>
  <c r="H14" i="13"/>
  <c r="H12" i="13"/>
  <c r="H10" i="13"/>
  <c r="L6" i="12"/>
  <c r="I6" i="12"/>
  <c r="J6" i="12"/>
  <c r="K6" i="12"/>
  <c r="N7" i="12"/>
  <c r="N6" i="12" s="1"/>
  <c r="M7" i="12"/>
  <c r="M6" i="12" s="1"/>
  <c r="L7" i="12"/>
  <c r="L82" i="5" l="1"/>
  <c r="O82" i="5" s="1"/>
  <c r="J82" i="5"/>
  <c r="M82" i="5"/>
  <c r="N82" i="5"/>
  <c r="P82" i="5" s="1"/>
  <c r="I82" i="5"/>
  <c r="O227" i="12"/>
  <c r="O229" i="12"/>
  <c r="O218" i="12"/>
  <c r="L215" i="12"/>
  <c r="N215" i="12"/>
  <c r="O217" i="12"/>
  <c r="O221" i="12"/>
  <c r="M215" i="12"/>
  <c r="O222" i="12"/>
  <c r="O220" i="12"/>
  <c r="O223" i="12"/>
  <c r="O7" i="12"/>
  <c r="O6" i="12" s="1"/>
  <c r="L126" i="12"/>
  <c r="L127" i="12"/>
  <c r="L128" i="12"/>
  <c r="L125" i="12"/>
  <c r="L120" i="12"/>
  <c r="L119" i="12"/>
  <c r="L112" i="12"/>
  <c r="L113" i="12"/>
  <c r="L114" i="12"/>
  <c r="L111" i="12"/>
  <c r="L100" i="12"/>
  <c r="L101" i="12"/>
  <c r="L102" i="12"/>
  <c r="L103" i="12"/>
  <c r="L104" i="12"/>
  <c r="L105" i="12"/>
  <c r="L106" i="12"/>
  <c r="L99" i="12"/>
  <c r="L98" i="12" s="1"/>
  <c r="L95" i="12"/>
  <c r="L94" i="12"/>
  <c r="L93" i="12"/>
  <c r="L63" i="12"/>
  <c r="L64" i="12"/>
  <c r="L65" i="12"/>
  <c r="L66" i="12"/>
  <c r="L67" i="12"/>
  <c r="L68" i="12"/>
  <c r="L62" i="12"/>
  <c r="L55" i="12"/>
  <c r="L54" i="12" s="1"/>
  <c r="L56" i="12"/>
  <c r="L57" i="12"/>
  <c r="L58" i="12"/>
  <c r="M49" i="12"/>
  <c r="I35" i="12"/>
  <c r="J35" i="12"/>
  <c r="K35" i="12"/>
  <c r="K85" i="12"/>
  <c r="J85" i="12"/>
  <c r="I85" i="12"/>
  <c r="N87" i="12"/>
  <c r="M87" i="12"/>
  <c r="L87" i="12"/>
  <c r="N86" i="12"/>
  <c r="M86" i="12"/>
  <c r="L86" i="12"/>
  <c r="G72" i="15"/>
  <c r="E71" i="15"/>
  <c r="E62" i="15"/>
  <c r="E61" i="15"/>
  <c r="C57" i="15"/>
  <c r="G52" i="15"/>
  <c r="G46" i="15"/>
  <c r="E46" i="15"/>
  <c r="C46" i="15"/>
  <c r="G47" i="15" s="1"/>
  <c r="G31" i="15"/>
  <c r="E31" i="15"/>
  <c r="C31" i="15"/>
  <c r="G32" i="15" s="1"/>
  <c r="E27" i="15"/>
  <c r="C26" i="15"/>
  <c r="G17" i="15"/>
  <c r="G6" i="15"/>
  <c r="E6" i="15"/>
  <c r="C6" i="15"/>
  <c r="G7" i="15" s="1"/>
  <c r="C11" i="15"/>
  <c r="E11" i="15"/>
  <c r="G12" i="15" s="1"/>
  <c r="G11" i="15"/>
  <c r="C21" i="15"/>
  <c r="E21" i="15"/>
  <c r="G21" i="15"/>
  <c r="L81" i="5" l="1"/>
  <c r="O81" i="5" s="1"/>
  <c r="J81" i="5"/>
  <c r="I81" i="5"/>
  <c r="K81" i="5"/>
  <c r="O215" i="12"/>
  <c r="O86" i="12"/>
  <c r="O85" i="12" s="1"/>
  <c r="O87" i="12"/>
  <c r="L85" i="12"/>
  <c r="N85" i="12"/>
  <c r="M85" i="12"/>
  <c r="M81" i="5" l="1"/>
  <c r="N81" i="5"/>
  <c r="P81" i="5" s="1"/>
  <c r="I40" i="5"/>
  <c r="L41" i="12"/>
  <c r="K41" i="12"/>
  <c r="J41" i="12"/>
  <c r="I41" i="12"/>
  <c r="N43" i="12"/>
  <c r="M43" i="12"/>
  <c r="L43" i="12"/>
  <c r="N42" i="12"/>
  <c r="M42" i="12"/>
  <c r="K272" i="12"/>
  <c r="J272" i="12"/>
  <c r="N268" i="12"/>
  <c r="M268" i="12"/>
  <c r="O268" i="12" s="1"/>
  <c r="L268" i="12"/>
  <c r="N267" i="12"/>
  <c r="M267" i="12"/>
  <c r="L267" i="12"/>
  <c r="N266" i="12"/>
  <c r="M266" i="12"/>
  <c r="L266" i="12"/>
  <c r="K265" i="12"/>
  <c r="J265" i="12"/>
  <c r="I265" i="12"/>
  <c r="B29" i="13"/>
  <c r="K70" i="5"/>
  <c r="N70" i="5" s="1"/>
  <c r="I70" i="5"/>
  <c r="N41" i="12" l="1"/>
  <c r="L18" i="5" s="1"/>
  <c r="O266" i="12"/>
  <c r="M41" i="12"/>
  <c r="O42" i="12"/>
  <c r="O43" i="12"/>
  <c r="L265" i="12"/>
  <c r="O267" i="12"/>
  <c r="I272" i="12"/>
  <c r="N265" i="12"/>
  <c r="M265" i="12"/>
  <c r="O265" i="12" l="1"/>
  <c r="I18" i="5"/>
  <c r="K18" i="5"/>
  <c r="O41" i="12"/>
  <c r="J80" i="5" l="1"/>
  <c r="L80" i="5"/>
  <c r="O80" i="5" s="1"/>
  <c r="I80" i="5"/>
  <c r="K80" i="5"/>
  <c r="N80" i="5" s="1"/>
  <c r="P80" i="5" l="1"/>
  <c r="M80" i="5"/>
  <c r="L76" i="5"/>
  <c r="O76" i="5" s="1"/>
  <c r="L77" i="5"/>
  <c r="O77" i="5" s="1"/>
  <c r="L78" i="5"/>
  <c r="O78" i="5" s="1"/>
  <c r="L79" i="5"/>
  <c r="O79" i="5" s="1"/>
  <c r="K76" i="5"/>
  <c r="K77" i="5"/>
  <c r="N77" i="5" s="1"/>
  <c r="K78" i="5"/>
  <c r="N78" i="5" s="1"/>
  <c r="K79" i="5"/>
  <c r="N79" i="5" s="1"/>
  <c r="J76" i="5"/>
  <c r="J77" i="5"/>
  <c r="J78" i="5"/>
  <c r="J79" i="5"/>
  <c r="I76" i="5"/>
  <c r="I77" i="5"/>
  <c r="I78" i="5"/>
  <c r="I79" i="5"/>
  <c r="B25" i="13"/>
  <c r="M76" i="5" l="1"/>
  <c r="P79" i="5"/>
  <c r="P78" i="5"/>
  <c r="N76" i="5"/>
  <c r="P76" i="5" s="1"/>
  <c r="M77" i="5"/>
  <c r="P77" i="5"/>
  <c r="M79" i="5"/>
  <c r="M78" i="5"/>
  <c r="J259" i="12"/>
  <c r="K259" i="12"/>
  <c r="L260" i="12"/>
  <c r="J252" i="12"/>
  <c r="K252" i="12"/>
  <c r="K246" i="12"/>
  <c r="J246" i="12"/>
  <c r="I246" i="12"/>
  <c r="L246" i="12" l="1"/>
  <c r="I238" i="12"/>
  <c r="J238" i="12"/>
  <c r="K238" i="12"/>
  <c r="M209" i="12"/>
  <c r="L209" i="12"/>
  <c r="I201" i="12"/>
  <c r="J201" i="12"/>
  <c r="K186" i="12" l="1"/>
  <c r="I186" i="12"/>
  <c r="K169" i="12"/>
  <c r="J169" i="12"/>
  <c r="I169" i="12"/>
  <c r="K155" i="12"/>
  <c r="J155" i="12"/>
  <c r="I155" i="12"/>
  <c r="K140" i="12" l="1"/>
  <c r="J140" i="12"/>
  <c r="I140" i="12"/>
  <c r="L273" i="12"/>
  <c r="M273" i="12"/>
  <c r="N273" i="12"/>
  <c r="L274" i="12"/>
  <c r="M274" i="12"/>
  <c r="N274" i="12"/>
  <c r="N261" i="12"/>
  <c r="M261" i="12"/>
  <c r="L261" i="12"/>
  <c r="N260" i="12"/>
  <c r="N259" i="12" s="1"/>
  <c r="M260" i="12"/>
  <c r="I259" i="12"/>
  <c r="L259" i="12" s="1"/>
  <c r="N255" i="12"/>
  <c r="M255" i="12"/>
  <c r="L255" i="12"/>
  <c r="N254" i="12"/>
  <c r="M254" i="12"/>
  <c r="L254" i="12"/>
  <c r="N253" i="12"/>
  <c r="M253" i="12"/>
  <c r="L253" i="12"/>
  <c r="I252" i="12"/>
  <c r="N248" i="12"/>
  <c r="M248" i="12"/>
  <c r="L248" i="12"/>
  <c r="N247" i="12"/>
  <c r="M247" i="12"/>
  <c r="L247" i="12"/>
  <c r="N243" i="12"/>
  <c r="M243" i="12"/>
  <c r="L243" i="12"/>
  <c r="N242" i="12"/>
  <c r="M242" i="12"/>
  <c r="L242" i="12"/>
  <c r="N241" i="12"/>
  <c r="M241" i="12"/>
  <c r="L241" i="12"/>
  <c r="N240" i="12"/>
  <c r="M240" i="12"/>
  <c r="N239" i="12"/>
  <c r="M239" i="12"/>
  <c r="N211" i="12"/>
  <c r="M211" i="12"/>
  <c r="L211" i="12"/>
  <c r="N210" i="12"/>
  <c r="M210" i="12"/>
  <c r="L210" i="12"/>
  <c r="N209" i="12"/>
  <c r="K208" i="12"/>
  <c r="J208" i="12"/>
  <c r="I208" i="12"/>
  <c r="N204" i="12"/>
  <c r="M204" i="12"/>
  <c r="L204" i="12"/>
  <c r="N203" i="12"/>
  <c r="M203" i="12"/>
  <c r="L203" i="12"/>
  <c r="N202" i="12"/>
  <c r="M202" i="12"/>
  <c r="L202" i="12"/>
  <c r="K201" i="12"/>
  <c r="N197" i="12"/>
  <c r="M197" i="12"/>
  <c r="L197" i="12"/>
  <c r="N196" i="12"/>
  <c r="M196" i="12"/>
  <c r="L196" i="12"/>
  <c r="N195" i="12"/>
  <c r="M195" i="12"/>
  <c r="L195" i="12"/>
  <c r="K194" i="12"/>
  <c r="J194" i="12"/>
  <c r="I194" i="12"/>
  <c r="N135" i="12"/>
  <c r="M135" i="12"/>
  <c r="L135" i="12"/>
  <c r="N134" i="12"/>
  <c r="M134" i="12"/>
  <c r="L134" i="12"/>
  <c r="N133" i="12"/>
  <c r="M133" i="12"/>
  <c r="L133" i="12"/>
  <c r="L132" i="12" s="1"/>
  <c r="K132" i="12"/>
  <c r="J132" i="12"/>
  <c r="I132" i="12"/>
  <c r="M272" i="12" l="1"/>
  <c r="L272" i="12"/>
  <c r="O196" i="12"/>
  <c r="M238" i="12"/>
  <c r="K93" i="5" s="1"/>
  <c r="L208" i="12"/>
  <c r="N238" i="12"/>
  <c r="J93" i="5" s="1"/>
  <c r="N272" i="12"/>
  <c r="M246" i="12"/>
  <c r="M259" i="12"/>
  <c r="J96" i="5"/>
  <c r="L96" i="5"/>
  <c r="O96" i="5" s="1"/>
  <c r="I93" i="5"/>
  <c r="N208" i="12"/>
  <c r="M208" i="12"/>
  <c r="L238" i="12"/>
  <c r="N246" i="12"/>
  <c r="M194" i="12"/>
  <c r="N194" i="12"/>
  <c r="O274" i="12"/>
  <c r="O273" i="12"/>
  <c r="O135" i="12"/>
  <c r="O203" i="12"/>
  <c r="O239" i="12"/>
  <c r="L194" i="12"/>
  <c r="O195" i="12"/>
  <c r="N132" i="12"/>
  <c r="N252" i="12"/>
  <c r="O202" i="12"/>
  <c r="O210" i="12"/>
  <c r="O211" i="12"/>
  <c r="L201" i="12"/>
  <c r="O204" i="12"/>
  <c r="O209" i="12"/>
  <c r="O197" i="12"/>
  <c r="O240" i="12"/>
  <c r="O243" i="12"/>
  <c r="O261" i="12"/>
  <c r="O254" i="12"/>
  <c r="M132" i="12"/>
  <c r="O255" i="12"/>
  <c r="L252" i="12"/>
  <c r="N201" i="12"/>
  <c r="M252" i="12"/>
  <c r="O134" i="12"/>
  <c r="O241" i="12"/>
  <c r="O260" i="12"/>
  <c r="O247" i="12"/>
  <c r="O242" i="12"/>
  <c r="O248" i="12"/>
  <c r="O253" i="12"/>
  <c r="M201" i="12"/>
  <c r="O133" i="12"/>
  <c r="J72" i="5"/>
  <c r="I72" i="5"/>
  <c r="L72" i="5"/>
  <c r="K72" i="5"/>
  <c r="N72" i="5" s="1"/>
  <c r="L69" i="5"/>
  <c r="O69" i="5" s="1"/>
  <c r="K69" i="5"/>
  <c r="N69" i="5" s="1"/>
  <c r="J69" i="5"/>
  <c r="I69" i="5"/>
  <c r="L97" i="5" l="1"/>
  <c r="O97" i="5" s="1"/>
  <c r="I101" i="5"/>
  <c r="K101" i="5"/>
  <c r="O272" i="12"/>
  <c r="L93" i="5"/>
  <c r="O93" i="5" s="1"/>
  <c r="J97" i="5"/>
  <c r="P69" i="5"/>
  <c r="O259" i="12"/>
  <c r="O238" i="12"/>
  <c r="L94" i="5"/>
  <c r="O94" i="5" s="1"/>
  <c r="J94" i="5"/>
  <c r="N93" i="5"/>
  <c r="K95" i="5"/>
  <c r="I95" i="5"/>
  <c r="I75" i="5"/>
  <c r="K75" i="5"/>
  <c r="K97" i="5"/>
  <c r="I97" i="5"/>
  <c r="K96" i="5"/>
  <c r="I96" i="5"/>
  <c r="K74" i="5"/>
  <c r="I74" i="5"/>
  <c r="J74" i="5"/>
  <c r="L74" i="5"/>
  <c r="O74" i="5" s="1"/>
  <c r="J95" i="5"/>
  <c r="L95" i="5"/>
  <c r="O95" i="5" s="1"/>
  <c r="J75" i="5"/>
  <c r="L75" i="5"/>
  <c r="O75" i="5" s="1"/>
  <c r="O208" i="12"/>
  <c r="O194" i="12"/>
  <c r="L73" i="5"/>
  <c r="O73" i="5" s="1"/>
  <c r="J73" i="5"/>
  <c r="K73" i="5"/>
  <c r="I73" i="5"/>
  <c r="I94" i="5"/>
  <c r="K94" i="5"/>
  <c r="M72" i="5"/>
  <c r="O246" i="12"/>
  <c r="O132" i="12"/>
  <c r="O201" i="12"/>
  <c r="O252" i="12"/>
  <c r="O72" i="5"/>
  <c r="P72" i="5" s="1"/>
  <c r="M69" i="5"/>
  <c r="G66" i="15"/>
  <c r="E66" i="15"/>
  <c r="G67" i="15"/>
  <c r="C77" i="15"/>
  <c r="M93" i="5" l="1"/>
  <c r="N101" i="5"/>
  <c r="L101" i="5"/>
  <c r="O101" i="5" s="1"/>
  <c r="J101" i="5"/>
  <c r="P93" i="5"/>
  <c r="N74" i="5"/>
  <c r="P74" i="5" s="1"/>
  <c r="M74" i="5"/>
  <c r="N95" i="5"/>
  <c r="P95" i="5" s="1"/>
  <c r="M95" i="5"/>
  <c r="N96" i="5"/>
  <c r="P96" i="5" s="1"/>
  <c r="M96" i="5"/>
  <c r="N97" i="5"/>
  <c r="P97" i="5" s="1"/>
  <c r="M97" i="5"/>
  <c r="N75" i="5"/>
  <c r="P75" i="5" s="1"/>
  <c r="M75" i="5"/>
  <c r="M94" i="5"/>
  <c r="N94" i="5"/>
  <c r="P94" i="5" s="1"/>
  <c r="N73" i="5"/>
  <c r="P73" i="5" s="1"/>
  <c r="M73" i="5"/>
  <c r="G41" i="15"/>
  <c r="E41" i="15"/>
  <c r="C41" i="15"/>
  <c r="G42" i="15" s="1"/>
  <c r="C36" i="15"/>
  <c r="E37" i="15"/>
  <c r="P101" i="5" l="1"/>
  <c r="P100" i="5" s="1"/>
  <c r="C29" i="13" s="1"/>
  <c r="G29" i="13" s="1"/>
  <c r="M101" i="5"/>
  <c r="I68" i="5"/>
  <c r="I71" i="5"/>
  <c r="J68" i="5"/>
  <c r="J70" i="5"/>
  <c r="J71" i="5"/>
  <c r="K68" i="5"/>
  <c r="N68" i="5" s="1"/>
  <c r="K71" i="5"/>
  <c r="N71" i="5" s="1"/>
  <c r="L68" i="5"/>
  <c r="O68" i="5" s="1"/>
  <c r="L70" i="5"/>
  <c r="O70" i="5" s="1"/>
  <c r="P70" i="5" s="1"/>
  <c r="L71" i="5"/>
  <c r="O71" i="5" s="1"/>
  <c r="L85" i="5"/>
  <c r="O85" i="5" s="1"/>
  <c r="L87" i="5"/>
  <c r="O87" i="5" s="1"/>
  <c r="L88" i="5"/>
  <c r="L89" i="5"/>
  <c r="O89" i="5" s="1"/>
  <c r="L90" i="5"/>
  <c r="O90" i="5" s="1"/>
  <c r="L91" i="5"/>
  <c r="O91" i="5" s="1"/>
  <c r="L92" i="5"/>
  <c r="O92" i="5" s="1"/>
  <c r="K85" i="5"/>
  <c r="N85" i="5" s="1"/>
  <c r="K87" i="5"/>
  <c r="N87" i="5" s="1"/>
  <c r="K88" i="5"/>
  <c r="N88" i="5" s="1"/>
  <c r="K89" i="5"/>
  <c r="K90" i="5"/>
  <c r="K91" i="5"/>
  <c r="N91" i="5" s="1"/>
  <c r="K92" i="5"/>
  <c r="J85" i="5"/>
  <c r="J87" i="5"/>
  <c r="J88" i="5"/>
  <c r="J89" i="5"/>
  <c r="J90" i="5"/>
  <c r="J91" i="5"/>
  <c r="J92" i="5"/>
  <c r="I85" i="5"/>
  <c r="I87" i="5"/>
  <c r="I88" i="5"/>
  <c r="I89" i="5"/>
  <c r="I90" i="5"/>
  <c r="I91" i="5"/>
  <c r="I92" i="5"/>
  <c r="I25" i="5"/>
  <c r="J25" i="5"/>
  <c r="K25" i="5"/>
  <c r="L25" i="5"/>
  <c r="O25" i="5" s="1"/>
  <c r="O18" i="5"/>
  <c r="L19" i="5"/>
  <c r="O19" i="5" s="1"/>
  <c r="N18" i="5"/>
  <c r="K19" i="5"/>
  <c r="J18" i="5"/>
  <c r="J19" i="5"/>
  <c r="I19" i="5"/>
  <c r="L86" i="5"/>
  <c r="O86" i="5" s="1"/>
  <c r="K86" i="5"/>
  <c r="N86" i="5" s="1"/>
  <c r="J86" i="5"/>
  <c r="I86" i="5"/>
  <c r="D29" i="13" l="1"/>
  <c r="F29" i="13"/>
  <c r="E29" i="13"/>
  <c r="M90" i="5"/>
  <c r="M85" i="5"/>
  <c r="M19" i="5"/>
  <c r="M88" i="5"/>
  <c r="M92" i="5"/>
  <c r="O88" i="5"/>
  <c r="P88" i="5" s="1"/>
  <c r="M89" i="5"/>
  <c r="M18" i="5"/>
  <c r="N19" i="5"/>
  <c r="P19" i="5" s="1"/>
  <c r="M87" i="5"/>
  <c r="P18" i="5"/>
  <c r="P85" i="5"/>
  <c r="P87" i="5"/>
  <c r="N90" i="5"/>
  <c r="P90" i="5" s="1"/>
  <c r="N89" i="5"/>
  <c r="P89" i="5" s="1"/>
  <c r="M91" i="5"/>
  <c r="M70" i="5"/>
  <c r="M68" i="5"/>
  <c r="M71" i="5"/>
  <c r="P71" i="5"/>
  <c r="P68" i="5"/>
  <c r="P91" i="5"/>
  <c r="N92" i="5"/>
  <c r="P92" i="5" s="1"/>
  <c r="P86" i="5"/>
  <c r="M25" i="5"/>
  <c r="N25" i="5"/>
  <c r="P25" i="5" s="1"/>
  <c r="M86" i="5"/>
  <c r="H29" i="13" l="1"/>
  <c r="P83" i="5"/>
  <c r="C25" i="13" s="1"/>
  <c r="L10" i="5"/>
  <c r="O10" i="5" s="1"/>
  <c r="K10" i="5"/>
  <c r="N10" i="5" s="1"/>
  <c r="J10" i="5"/>
  <c r="I10" i="5"/>
  <c r="F25" i="13" l="1"/>
  <c r="G25" i="13"/>
  <c r="E25" i="13"/>
  <c r="D25" i="13"/>
  <c r="P10" i="5"/>
  <c r="M10" i="5"/>
  <c r="H25" i="13" l="1"/>
  <c r="N190" i="12"/>
  <c r="M190" i="12"/>
  <c r="L190" i="12"/>
  <c r="N189" i="12"/>
  <c r="M189" i="12"/>
  <c r="L189" i="12"/>
  <c r="N188" i="12"/>
  <c r="M188" i="12"/>
  <c r="L188" i="12"/>
  <c r="N187" i="12"/>
  <c r="M187" i="12"/>
  <c r="L187" i="12"/>
  <c r="J186" i="12"/>
  <c r="O188" i="12" l="1"/>
  <c r="L186" i="12"/>
  <c r="O189" i="12"/>
  <c r="M186" i="12"/>
  <c r="O190" i="12"/>
  <c r="N186" i="12"/>
  <c r="O187" i="12"/>
  <c r="L51" i="5"/>
  <c r="O51" i="5" s="1"/>
  <c r="L52" i="5"/>
  <c r="O52" i="5" s="1"/>
  <c r="L53" i="5"/>
  <c r="O53" i="5" s="1"/>
  <c r="L54" i="5"/>
  <c r="O54" i="5" s="1"/>
  <c r="K51" i="5"/>
  <c r="N51" i="5" s="1"/>
  <c r="K52" i="5"/>
  <c r="N52" i="5" s="1"/>
  <c r="K53" i="5"/>
  <c r="N53" i="5" s="1"/>
  <c r="K54" i="5"/>
  <c r="N54" i="5" s="1"/>
  <c r="J51" i="5"/>
  <c r="J52" i="5"/>
  <c r="J53" i="5"/>
  <c r="J54" i="5"/>
  <c r="I51" i="5"/>
  <c r="I52" i="5"/>
  <c r="I53" i="5"/>
  <c r="I54" i="5"/>
  <c r="O186" i="12" l="1"/>
  <c r="P54" i="5"/>
  <c r="M52" i="5"/>
  <c r="M51" i="5"/>
  <c r="P53" i="5"/>
  <c r="P52" i="5"/>
  <c r="P51" i="5"/>
  <c r="M54" i="5"/>
  <c r="M53" i="5"/>
  <c r="J124" i="12"/>
  <c r="I124" i="12"/>
  <c r="N128" i="12" l="1"/>
  <c r="M128" i="12"/>
  <c r="L124" i="12"/>
  <c r="N127" i="12"/>
  <c r="M127" i="12"/>
  <c r="N126" i="12"/>
  <c r="M126" i="12"/>
  <c r="N125" i="12"/>
  <c r="M125" i="12"/>
  <c r="K124" i="12"/>
  <c r="O126" i="12" l="1"/>
  <c r="O128" i="12"/>
  <c r="O127" i="12"/>
  <c r="M124" i="12"/>
  <c r="N124" i="12"/>
  <c r="O125" i="12"/>
  <c r="K92" i="12"/>
  <c r="J92" i="12"/>
  <c r="I92" i="12"/>
  <c r="N95" i="12"/>
  <c r="M95" i="12"/>
  <c r="L92" i="12"/>
  <c r="O124" i="12" l="1"/>
  <c r="O95" i="12"/>
  <c r="I50" i="5"/>
  <c r="K50" i="5"/>
  <c r="J50" i="5"/>
  <c r="L50" i="5"/>
  <c r="O50" i="5" s="1"/>
  <c r="N50" i="5" l="1"/>
  <c r="P50" i="5" s="1"/>
  <c r="M50" i="5"/>
  <c r="I110" i="12"/>
  <c r="L118" i="12"/>
  <c r="K118" i="12"/>
  <c r="J118" i="12"/>
  <c r="I118" i="12"/>
  <c r="N120" i="12"/>
  <c r="M120" i="12"/>
  <c r="N119" i="12"/>
  <c r="M119" i="12"/>
  <c r="M118" i="12" l="1"/>
  <c r="N118" i="12"/>
  <c r="O120" i="12"/>
  <c r="O119" i="12"/>
  <c r="K110" i="12"/>
  <c r="J110" i="12"/>
  <c r="O118" i="12" l="1"/>
  <c r="N114" i="12"/>
  <c r="M114" i="12"/>
  <c r="N113" i="12"/>
  <c r="M113" i="12"/>
  <c r="N112" i="12"/>
  <c r="M112" i="12"/>
  <c r="N111" i="12"/>
  <c r="M111" i="12"/>
  <c r="N110" i="12" l="1"/>
  <c r="J48" i="5" s="1"/>
  <c r="L110" i="12"/>
  <c r="M110" i="12"/>
  <c r="K48" i="5" s="1"/>
  <c r="N48" i="5" s="1"/>
  <c r="O113" i="12"/>
  <c r="O112" i="12"/>
  <c r="O114" i="12"/>
  <c r="O111" i="12"/>
  <c r="L49" i="5"/>
  <c r="O49" i="5" s="1"/>
  <c r="K49" i="5"/>
  <c r="N49" i="5" s="1"/>
  <c r="J49" i="5"/>
  <c r="I49" i="5"/>
  <c r="J98" i="12"/>
  <c r="I98" i="12"/>
  <c r="K98" i="12"/>
  <c r="N106" i="12"/>
  <c r="M106" i="12"/>
  <c r="N105" i="12"/>
  <c r="M105" i="12"/>
  <c r="N104" i="12"/>
  <c r="M104" i="12"/>
  <c r="N103" i="12"/>
  <c r="M103" i="12"/>
  <c r="N102" i="12"/>
  <c r="M102" i="12"/>
  <c r="N101" i="12"/>
  <c r="M101" i="12"/>
  <c r="N100" i="12"/>
  <c r="M100" i="12"/>
  <c r="N99" i="12"/>
  <c r="M99" i="12"/>
  <c r="I233" i="12"/>
  <c r="I227" i="12" s="1"/>
  <c r="L48" i="5" l="1"/>
  <c r="M48" i="5" s="1"/>
  <c r="P49" i="5"/>
  <c r="M49" i="5"/>
  <c r="I48" i="5"/>
  <c r="O110" i="12"/>
  <c r="O102" i="12"/>
  <c r="O100" i="12"/>
  <c r="O103" i="12"/>
  <c r="N98" i="12"/>
  <c r="O99" i="12"/>
  <c r="O105" i="12"/>
  <c r="M98" i="12"/>
  <c r="O101" i="12"/>
  <c r="O104" i="12"/>
  <c r="O106" i="12"/>
  <c r="L44" i="5"/>
  <c r="O44" i="5" s="1"/>
  <c r="K44" i="5"/>
  <c r="N44" i="5" s="1"/>
  <c r="J44" i="5"/>
  <c r="I44" i="5"/>
  <c r="L46" i="5"/>
  <c r="O46" i="5" s="1"/>
  <c r="K46" i="5"/>
  <c r="N46" i="5" s="1"/>
  <c r="J46" i="5"/>
  <c r="I46" i="5"/>
  <c r="L45" i="5"/>
  <c r="O45" i="5" s="1"/>
  <c r="K45" i="5"/>
  <c r="N45" i="5" s="1"/>
  <c r="J45" i="5"/>
  <c r="I45" i="5"/>
  <c r="N58" i="12"/>
  <c r="M58" i="12"/>
  <c r="N57" i="12"/>
  <c r="M57" i="12"/>
  <c r="N56" i="12"/>
  <c r="M56" i="12"/>
  <c r="N55" i="12"/>
  <c r="M55" i="12"/>
  <c r="K54" i="12"/>
  <c r="J54" i="12"/>
  <c r="I54" i="12"/>
  <c r="P45" i="5" l="1"/>
  <c r="P44" i="5"/>
  <c r="M44" i="5"/>
  <c r="P46" i="5"/>
  <c r="O48" i="5"/>
  <c r="P48" i="5" s="1"/>
  <c r="O56" i="12"/>
  <c r="O55" i="12"/>
  <c r="O58" i="12"/>
  <c r="O57" i="12"/>
  <c r="J47" i="5"/>
  <c r="L47" i="5"/>
  <c r="O47" i="5" s="1"/>
  <c r="I47" i="5"/>
  <c r="K47" i="5"/>
  <c r="O98" i="12"/>
  <c r="M45" i="5"/>
  <c r="M46" i="5"/>
  <c r="N54" i="12"/>
  <c r="M54" i="12"/>
  <c r="O54" i="12" l="1"/>
  <c r="N47" i="5"/>
  <c r="P47" i="5" s="1"/>
  <c r="M47" i="5"/>
  <c r="N32" i="12"/>
  <c r="M32" i="12"/>
  <c r="M31" i="12" s="1"/>
  <c r="I16" i="5" s="1"/>
  <c r="L32" i="12"/>
  <c r="K31" i="12"/>
  <c r="J31" i="12"/>
  <c r="I31" i="12"/>
  <c r="K27" i="12"/>
  <c r="J27" i="12"/>
  <c r="I27" i="12"/>
  <c r="N28" i="12"/>
  <c r="N27" i="12" s="1"/>
  <c r="J15" i="5" s="1"/>
  <c r="M28" i="12"/>
  <c r="L28" i="12"/>
  <c r="K20" i="12"/>
  <c r="J20" i="12"/>
  <c r="I20" i="12"/>
  <c r="N23" i="12"/>
  <c r="M23" i="12"/>
  <c r="O23" i="12" s="1"/>
  <c r="L23" i="12"/>
  <c r="N22" i="12"/>
  <c r="M22" i="12"/>
  <c r="L22" i="12"/>
  <c r="N21" i="12"/>
  <c r="M21" i="12"/>
  <c r="L21" i="12"/>
  <c r="F14" i="5"/>
  <c r="N148" i="12"/>
  <c r="M148" i="12"/>
  <c r="L148" i="12"/>
  <c r="N147" i="12"/>
  <c r="M147" i="12"/>
  <c r="L147" i="12"/>
  <c r="N37" i="12"/>
  <c r="M37" i="12"/>
  <c r="L37" i="12"/>
  <c r="N36" i="12"/>
  <c r="N35" i="12" s="1"/>
  <c r="M36" i="12"/>
  <c r="M35" i="12" s="1"/>
  <c r="L36" i="12"/>
  <c r="M27" i="12" l="1"/>
  <c r="I15" i="5" s="1"/>
  <c r="O28" i="12"/>
  <c r="O27" i="12" s="1"/>
  <c r="N31" i="12"/>
  <c r="O147" i="12"/>
  <c r="O148" i="12"/>
  <c r="L35" i="12"/>
  <c r="O36" i="12"/>
  <c r="N20" i="12"/>
  <c r="L14" i="5" s="1"/>
  <c r="O14" i="5" s="1"/>
  <c r="L31" i="12"/>
  <c r="K16" i="5"/>
  <c r="N16" i="5" s="1"/>
  <c r="L15" i="5"/>
  <c r="O15" i="5" s="1"/>
  <c r="K15" i="5"/>
  <c r="O32" i="12"/>
  <c r="O31" i="12" s="1"/>
  <c r="M20" i="12"/>
  <c r="I14" i="5" s="1"/>
  <c r="L27" i="12"/>
  <c r="L20" i="12"/>
  <c r="O22" i="12"/>
  <c r="O21" i="12"/>
  <c r="O20" i="12" s="1"/>
  <c r="O37" i="12"/>
  <c r="J16" i="5" l="1"/>
  <c r="L16" i="5"/>
  <c r="O35" i="12"/>
  <c r="J14" i="5"/>
  <c r="M15" i="5"/>
  <c r="N15" i="5"/>
  <c r="P15" i="5" s="1"/>
  <c r="O16" i="5"/>
  <c r="P16" i="5" s="1"/>
  <c r="M16" i="5"/>
  <c r="K14" i="5"/>
  <c r="N14" i="5" s="1"/>
  <c r="P14" i="5" s="1"/>
  <c r="J17" i="5"/>
  <c r="L17" i="5"/>
  <c r="O17" i="5" s="1"/>
  <c r="I17" i="5"/>
  <c r="K17" i="5"/>
  <c r="M14" i="5" l="1"/>
  <c r="M17" i="5"/>
  <c r="N17" i="5"/>
  <c r="P17" i="5" s="1"/>
  <c r="J139" i="12" l="1"/>
  <c r="K168" i="12"/>
  <c r="J168" i="12"/>
  <c r="I168" i="12"/>
  <c r="J179" i="12"/>
  <c r="I179" i="12"/>
  <c r="K179" i="12"/>
  <c r="N182" i="12"/>
  <c r="M182" i="12"/>
  <c r="L182" i="12"/>
  <c r="N181" i="12"/>
  <c r="M181" i="12"/>
  <c r="L181" i="12"/>
  <c r="N180" i="12"/>
  <c r="M180" i="12"/>
  <c r="L180" i="12"/>
  <c r="M179" i="12" l="1"/>
  <c r="L179" i="12"/>
  <c r="O182" i="12"/>
  <c r="O181" i="12"/>
  <c r="N179" i="12"/>
  <c r="O180" i="12"/>
  <c r="L33" i="5"/>
  <c r="O33" i="5" s="1"/>
  <c r="K33" i="5"/>
  <c r="J33" i="5"/>
  <c r="I33" i="5"/>
  <c r="O179" i="12" l="1"/>
  <c r="M33" i="5"/>
  <c r="N33" i="5"/>
  <c r="P33" i="5" s="1"/>
  <c r="L40" i="5"/>
  <c r="O40" i="5" s="1"/>
  <c r="K40" i="5"/>
  <c r="N40" i="5" s="1"/>
  <c r="J40" i="5"/>
  <c r="K61" i="12"/>
  <c r="J61" i="12"/>
  <c r="I61" i="12"/>
  <c r="N68" i="12"/>
  <c r="M68" i="12"/>
  <c r="N67" i="12"/>
  <c r="M67" i="12"/>
  <c r="N66" i="12"/>
  <c r="M66" i="12"/>
  <c r="N65" i="12"/>
  <c r="M65" i="12"/>
  <c r="N64" i="12"/>
  <c r="M64" i="12"/>
  <c r="N63" i="12"/>
  <c r="M63" i="12"/>
  <c r="N62" i="12"/>
  <c r="M62" i="12"/>
  <c r="L66" i="5"/>
  <c r="O66" i="5" s="1"/>
  <c r="K66" i="5"/>
  <c r="J66" i="5"/>
  <c r="I66" i="5"/>
  <c r="M66" i="5" l="1"/>
  <c r="O65" i="12"/>
  <c r="O66" i="12"/>
  <c r="M40" i="5"/>
  <c r="P40" i="5"/>
  <c r="M61" i="12"/>
  <c r="O68" i="12"/>
  <c r="L61" i="12"/>
  <c r="N61" i="12"/>
  <c r="J32" i="5" s="1"/>
  <c r="O63" i="12"/>
  <c r="O67" i="12"/>
  <c r="O64" i="12"/>
  <c r="O62" i="12"/>
  <c r="N66" i="5"/>
  <c r="P66" i="5" s="1"/>
  <c r="J146" i="12"/>
  <c r="I146" i="12"/>
  <c r="N150" i="12"/>
  <c r="M150" i="12"/>
  <c r="L150" i="12"/>
  <c r="N149" i="12"/>
  <c r="M149" i="12"/>
  <c r="L149" i="12"/>
  <c r="K146" i="12"/>
  <c r="L146" i="12" l="1"/>
  <c r="N146" i="12"/>
  <c r="I67" i="5"/>
  <c r="L67" i="5"/>
  <c r="O67" i="5" s="1"/>
  <c r="K67" i="5"/>
  <c r="N67" i="5" s="1"/>
  <c r="M146" i="12"/>
  <c r="L32" i="5"/>
  <c r="O32" i="5" s="1"/>
  <c r="J67" i="5"/>
  <c r="K32" i="5"/>
  <c r="N32" i="5" s="1"/>
  <c r="I32" i="5"/>
  <c r="O61" i="12"/>
  <c r="O150" i="12"/>
  <c r="O149" i="12"/>
  <c r="D4" i="14"/>
  <c r="D6" i="14" s="1"/>
  <c r="D7" i="14" s="1"/>
  <c r="O146" i="12" l="1"/>
  <c r="P67" i="5"/>
  <c r="J55" i="5"/>
  <c r="L55" i="5"/>
  <c r="O55" i="5" s="1"/>
  <c r="I55" i="5"/>
  <c r="K55" i="5"/>
  <c r="G22" i="15"/>
  <c r="M67" i="5"/>
  <c r="P32" i="5"/>
  <c r="M32" i="5"/>
  <c r="I31" i="5"/>
  <c r="B27" i="13"/>
  <c r="B23" i="13"/>
  <c r="B21" i="13"/>
  <c r="B19" i="13"/>
  <c r="B17" i="13"/>
  <c r="B15" i="13"/>
  <c r="B13" i="13"/>
  <c r="B11" i="13"/>
  <c r="B9" i="13"/>
  <c r="B3" i="13"/>
  <c r="N55" i="5" l="1"/>
  <c r="P55" i="5" s="1"/>
  <c r="M55" i="5"/>
  <c r="L99" i="5"/>
  <c r="K99" i="5"/>
  <c r="L58" i="5"/>
  <c r="L60" i="5"/>
  <c r="L62" i="5"/>
  <c r="L63" i="5"/>
  <c r="L65" i="5"/>
  <c r="K58" i="5"/>
  <c r="K60" i="5"/>
  <c r="K62" i="5"/>
  <c r="K63" i="5"/>
  <c r="K65" i="5"/>
  <c r="L43" i="5"/>
  <c r="K43" i="5"/>
  <c r="L36" i="5"/>
  <c r="O36" i="5" s="1"/>
  <c r="L37" i="5"/>
  <c r="O37" i="5" s="1"/>
  <c r="L39" i="5"/>
  <c r="O39" i="5" s="1"/>
  <c r="K36" i="5"/>
  <c r="N36" i="5" s="1"/>
  <c r="K37" i="5"/>
  <c r="N37" i="5" s="1"/>
  <c r="K39" i="5"/>
  <c r="N39" i="5" s="1"/>
  <c r="J36" i="5"/>
  <c r="J37" i="5"/>
  <c r="J39" i="5"/>
  <c r="I36" i="5"/>
  <c r="I37" i="5"/>
  <c r="I39" i="5"/>
  <c r="L27" i="5"/>
  <c r="L28" i="5"/>
  <c r="L29" i="5"/>
  <c r="L31" i="5"/>
  <c r="K27" i="5"/>
  <c r="N27" i="5" s="1"/>
  <c r="K28" i="5"/>
  <c r="K29" i="5"/>
  <c r="K31" i="5"/>
  <c r="I27" i="5"/>
  <c r="L23" i="5"/>
  <c r="L24" i="5"/>
  <c r="K23" i="5"/>
  <c r="K24" i="5"/>
  <c r="J23" i="5"/>
  <c r="I23" i="5"/>
  <c r="L13" i="5"/>
  <c r="O13" i="5" s="1"/>
  <c r="K13" i="5"/>
  <c r="N13" i="5" s="1"/>
  <c r="J13" i="5"/>
  <c r="I13" i="5"/>
  <c r="M99" i="5" l="1"/>
  <c r="M65" i="5"/>
  <c r="M23" i="5"/>
  <c r="M43" i="5"/>
  <c r="M63" i="5"/>
  <c r="M28" i="5"/>
  <c r="M24" i="5"/>
  <c r="M13" i="5"/>
  <c r="M37" i="5"/>
  <c r="M36" i="5"/>
  <c r="M58" i="5"/>
  <c r="M62" i="5"/>
  <c r="M29" i="5"/>
  <c r="M60" i="5"/>
  <c r="M31" i="5"/>
  <c r="M39" i="5"/>
  <c r="M27" i="5"/>
  <c r="N171" i="12"/>
  <c r="N172" i="12"/>
  <c r="N173" i="12"/>
  <c r="N174" i="12"/>
  <c r="N175" i="12"/>
  <c r="N170" i="12"/>
  <c r="M171" i="12"/>
  <c r="M172" i="12"/>
  <c r="M173" i="12"/>
  <c r="M174" i="12"/>
  <c r="M175" i="12"/>
  <c r="M170" i="12"/>
  <c r="L171" i="12"/>
  <c r="L172" i="12"/>
  <c r="L173" i="12"/>
  <c r="L174" i="12"/>
  <c r="L175" i="12"/>
  <c r="L170" i="12"/>
  <c r="K154" i="12"/>
  <c r="J154" i="12"/>
  <c r="I154" i="12"/>
  <c r="M156" i="12"/>
  <c r="N157" i="12"/>
  <c r="N156" i="12"/>
  <c r="N158" i="12"/>
  <c r="N159" i="12"/>
  <c r="N160" i="12"/>
  <c r="N161" i="12"/>
  <c r="N162" i="12"/>
  <c r="N163" i="12"/>
  <c r="N164" i="12"/>
  <c r="M157" i="12"/>
  <c r="M158" i="12"/>
  <c r="M159" i="12"/>
  <c r="M160" i="12"/>
  <c r="M161" i="12"/>
  <c r="M162" i="12"/>
  <c r="M163" i="12"/>
  <c r="M164" i="12"/>
  <c r="L157" i="12"/>
  <c r="L158" i="12"/>
  <c r="L159" i="12"/>
  <c r="L160" i="12"/>
  <c r="L161" i="12"/>
  <c r="L162" i="12"/>
  <c r="L163" i="12"/>
  <c r="L164" i="12"/>
  <c r="L156" i="12"/>
  <c r="N142" i="12"/>
  <c r="N141" i="12"/>
  <c r="M142" i="12"/>
  <c r="M141" i="12"/>
  <c r="K139" i="12"/>
  <c r="I139" i="12"/>
  <c r="L142" i="12"/>
  <c r="L141" i="12"/>
  <c r="M234" i="12"/>
  <c r="N235" i="12"/>
  <c r="N234" i="12"/>
  <c r="M235" i="12"/>
  <c r="L234" i="12"/>
  <c r="L235" i="12"/>
  <c r="N94" i="12"/>
  <c r="N93" i="12"/>
  <c r="M94" i="12"/>
  <c r="M93" i="12"/>
  <c r="N81" i="12"/>
  <c r="N82" i="12"/>
  <c r="N80" i="12"/>
  <c r="M81" i="12"/>
  <c r="M82" i="12"/>
  <c r="O82" i="12" s="1"/>
  <c r="M80" i="12"/>
  <c r="I79" i="12"/>
  <c r="J79" i="12"/>
  <c r="K79" i="12"/>
  <c r="L81" i="12"/>
  <c r="L82" i="12"/>
  <c r="L80" i="12"/>
  <c r="N74" i="12"/>
  <c r="N73" i="12" s="1"/>
  <c r="L35" i="5" s="1"/>
  <c r="O35" i="5" s="1"/>
  <c r="M74" i="12"/>
  <c r="M73" i="12" s="1"/>
  <c r="I35" i="5" s="1"/>
  <c r="K73" i="12"/>
  <c r="J73" i="12"/>
  <c r="I73" i="12"/>
  <c r="L74" i="12"/>
  <c r="L73" i="12" s="1"/>
  <c r="N50" i="12"/>
  <c r="N51" i="12"/>
  <c r="N49" i="12"/>
  <c r="M50" i="12"/>
  <c r="M51" i="12"/>
  <c r="K48" i="12"/>
  <c r="J48" i="12"/>
  <c r="I48" i="12"/>
  <c r="L50" i="12"/>
  <c r="L51" i="12"/>
  <c r="L49" i="12"/>
  <c r="K21" i="5"/>
  <c r="N21" i="5" s="1"/>
  <c r="M12" i="12"/>
  <c r="M14" i="12"/>
  <c r="N14" i="12"/>
  <c r="M15" i="12"/>
  <c r="N15" i="12"/>
  <c r="M16" i="12"/>
  <c r="N16" i="12"/>
  <c r="M17" i="12"/>
  <c r="N17" i="12"/>
  <c r="N13" i="12"/>
  <c r="N12" i="12"/>
  <c r="M13" i="12"/>
  <c r="K11" i="12"/>
  <c r="L15" i="12"/>
  <c r="L16" i="12"/>
  <c r="L17" i="12"/>
  <c r="L14" i="12"/>
  <c r="L13" i="12"/>
  <c r="L12" i="12"/>
  <c r="J11" i="12"/>
  <c r="I11" i="12"/>
  <c r="M140" i="12" l="1"/>
  <c r="N140" i="12"/>
  <c r="O12" i="12"/>
  <c r="O80" i="12"/>
  <c r="L140" i="12"/>
  <c r="O13" i="12"/>
  <c r="O158" i="12"/>
  <c r="M48" i="12"/>
  <c r="O17" i="12"/>
  <c r="L48" i="12"/>
  <c r="L79" i="12"/>
  <c r="O16" i="12"/>
  <c r="M79" i="12"/>
  <c r="K38" i="5" s="1"/>
  <c r="N38" i="5" s="1"/>
  <c r="O81" i="12"/>
  <c r="O79" i="12" s="1"/>
  <c r="L169" i="12"/>
  <c r="N48" i="12"/>
  <c r="L22" i="5" s="1"/>
  <c r="O15" i="12"/>
  <c r="N11" i="12"/>
  <c r="O14" i="12"/>
  <c r="L155" i="12"/>
  <c r="N169" i="12"/>
  <c r="M155" i="12"/>
  <c r="M169" i="12"/>
  <c r="N155" i="12"/>
  <c r="N92" i="12"/>
  <c r="O164" i="12"/>
  <c r="M92" i="12"/>
  <c r="L233" i="12"/>
  <c r="N233" i="12"/>
  <c r="M233" i="12"/>
  <c r="O162" i="12"/>
  <c r="O159" i="12"/>
  <c r="O235" i="12"/>
  <c r="L59" i="5"/>
  <c r="O49" i="12"/>
  <c r="O163" i="12"/>
  <c r="O173" i="12"/>
  <c r="O172" i="12"/>
  <c r="K59" i="5"/>
  <c r="O171" i="12"/>
  <c r="L11" i="12"/>
  <c r="N168" i="12"/>
  <c r="O174" i="12"/>
  <c r="O94" i="12"/>
  <c r="O93" i="12"/>
  <c r="O234" i="12"/>
  <c r="L139" i="12"/>
  <c r="O156" i="12"/>
  <c r="O51" i="12"/>
  <c r="N79" i="12"/>
  <c r="L38" i="5" s="1"/>
  <c r="O38" i="5" s="1"/>
  <c r="O50" i="12"/>
  <c r="L168" i="12"/>
  <c r="O74" i="12"/>
  <c r="O73" i="12" s="1"/>
  <c r="O170" i="12"/>
  <c r="J35" i="5"/>
  <c r="O175" i="12"/>
  <c r="O141" i="12"/>
  <c r="L154" i="12"/>
  <c r="N154" i="12"/>
  <c r="O160" i="12"/>
  <c r="K35" i="5"/>
  <c r="N35" i="5" s="1"/>
  <c r="M154" i="12"/>
  <c r="M168" i="12"/>
  <c r="O161" i="12"/>
  <c r="O157" i="12"/>
  <c r="M139" i="12"/>
  <c r="K57" i="5" s="1"/>
  <c r="O142" i="12"/>
  <c r="N139" i="12"/>
  <c r="L57" i="5" s="1"/>
  <c r="L21" i="5"/>
  <c r="O21" i="5" s="1"/>
  <c r="P21" i="5" s="1"/>
  <c r="M11" i="12"/>
  <c r="L7" i="5"/>
  <c r="I7" i="5"/>
  <c r="O11" i="12" l="1"/>
  <c r="L64" i="5"/>
  <c r="K61" i="5"/>
  <c r="K22" i="5"/>
  <c r="M22" i="5" s="1"/>
  <c r="K64" i="5"/>
  <c r="M64" i="5" s="1"/>
  <c r="L61" i="5"/>
  <c r="M61" i="5" s="1"/>
  <c r="O155" i="12"/>
  <c r="O169" i="12"/>
  <c r="O140" i="12"/>
  <c r="K84" i="5"/>
  <c r="L84" i="5"/>
  <c r="O92" i="12"/>
  <c r="O233" i="12"/>
  <c r="J7" i="5"/>
  <c r="K7" i="5"/>
  <c r="N7" i="5" s="1"/>
  <c r="O139" i="12"/>
  <c r="M59" i="5"/>
  <c r="I38" i="5"/>
  <c r="J38" i="5"/>
  <c r="M57" i="5"/>
  <c r="O48" i="12"/>
  <c r="K42" i="5"/>
  <c r="I42" i="5"/>
  <c r="L42" i="5"/>
  <c r="J42" i="5"/>
  <c r="O154" i="12"/>
  <c r="O168" i="12"/>
  <c r="M35" i="5"/>
  <c r="M21" i="5"/>
  <c r="K12" i="5"/>
  <c r="I12" i="5"/>
  <c r="M38" i="5"/>
  <c r="G3" i="7"/>
  <c r="H3" i="7" s="1"/>
  <c r="M3" i="7" s="1"/>
  <c r="K8" i="5" s="1"/>
  <c r="M84" i="5" l="1"/>
  <c r="M42" i="5"/>
  <c r="L12" i="5"/>
  <c r="O12" i="5" s="1"/>
  <c r="J12" i="5"/>
  <c r="N12" i="5"/>
  <c r="N8" i="5"/>
  <c r="I8" i="5"/>
  <c r="M12" i="5" l="1"/>
  <c r="L4" i="7"/>
  <c r="G4" i="7"/>
  <c r="H4" i="7" s="1"/>
  <c r="N4" i="7" s="1"/>
  <c r="L9" i="5" l="1"/>
  <c r="O9" i="5" s="1"/>
  <c r="J9" i="5"/>
  <c r="N3" i="7"/>
  <c r="L8" i="5" s="1"/>
  <c r="M8" i="5" s="1"/>
  <c r="M4" i="7"/>
  <c r="K9" i="5" l="1"/>
  <c r="I9" i="5"/>
  <c r="O8" i="5"/>
  <c r="P8" i="5" s="1"/>
  <c r="J8" i="5"/>
  <c r="O22" i="5"/>
  <c r="O23" i="5"/>
  <c r="O24" i="5"/>
  <c r="O27" i="5"/>
  <c r="O28" i="5"/>
  <c r="O29" i="5"/>
  <c r="O31" i="5"/>
  <c r="O42" i="5"/>
  <c r="O43" i="5"/>
  <c r="O84" i="5"/>
  <c r="O57" i="5"/>
  <c r="O58" i="5"/>
  <c r="O59" i="5"/>
  <c r="O60" i="5"/>
  <c r="O61" i="5"/>
  <c r="O62" i="5"/>
  <c r="O63" i="5"/>
  <c r="O64" i="5"/>
  <c r="O65" i="5"/>
  <c r="O99" i="5"/>
  <c r="N99" i="5"/>
  <c r="N22" i="5"/>
  <c r="N23" i="5"/>
  <c r="N24" i="5"/>
  <c r="N28" i="5"/>
  <c r="N29" i="5"/>
  <c r="N31" i="5"/>
  <c r="N42" i="5"/>
  <c r="N84" i="5"/>
  <c r="N57" i="5"/>
  <c r="N58" i="5"/>
  <c r="N59" i="5"/>
  <c r="N60" i="5"/>
  <c r="N61" i="5"/>
  <c r="N62" i="5"/>
  <c r="N63" i="5"/>
  <c r="N64" i="5"/>
  <c r="N65" i="5"/>
  <c r="J21" i="5"/>
  <c r="I21" i="5"/>
  <c r="I22" i="5"/>
  <c r="J22" i="5"/>
  <c r="I24" i="5"/>
  <c r="J24" i="5"/>
  <c r="J27" i="5"/>
  <c r="I28" i="5"/>
  <c r="J28" i="5"/>
  <c r="I29" i="5"/>
  <c r="J29" i="5"/>
  <c r="J31" i="5"/>
  <c r="J43" i="5"/>
  <c r="I84" i="5"/>
  <c r="J84" i="5"/>
  <c r="I57" i="5"/>
  <c r="J57" i="5"/>
  <c r="I58" i="5"/>
  <c r="J58" i="5"/>
  <c r="I59" i="5"/>
  <c r="J59" i="5"/>
  <c r="I60" i="5"/>
  <c r="J60" i="5"/>
  <c r="I61" i="5"/>
  <c r="J61" i="5"/>
  <c r="I62" i="5"/>
  <c r="J62" i="5"/>
  <c r="I63" i="5"/>
  <c r="J63" i="5"/>
  <c r="I64" i="5"/>
  <c r="J64" i="5"/>
  <c r="I65" i="5"/>
  <c r="J65" i="5"/>
  <c r="I99" i="5"/>
  <c r="J99" i="5"/>
  <c r="J102" i="5" l="1"/>
  <c r="P60" i="5"/>
  <c r="P24" i="5"/>
  <c r="P64" i="5"/>
  <c r="P84" i="5"/>
  <c r="P38" i="5"/>
  <c r="P31" i="5"/>
  <c r="P30" i="5" s="1"/>
  <c r="P59" i="5"/>
  <c r="P23" i="5"/>
  <c r="M9" i="5"/>
  <c r="N9" i="5"/>
  <c r="P61" i="5"/>
  <c r="P27" i="5"/>
  <c r="P99" i="5"/>
  <c r="P98" i="5" s="1"/>
  <c r="P57" i="5"/>
  <c r="P35" i="5"/>
  <c r="P58" i="5"/>
  <c r="P22" i="5"/>
  <c r="P63" i="5"/>
  <c r="P29" i="5"/>
  <c r="P62" i="5"/>
  <c r="P42" i="5"/>
  <c r="P28" i="5"/>
  <c r="P12" i="5"/>
  <c r="P65" i="5"/>
  <c r="P56" i="5" l="1"/>
  <c r="P20" i="5"/>
  <c r="C13" i="13" s="1"/>
  <c r="C27" i="13"/>
  <c r="C17" i="13"/>
  <c r="G17" i="13" s="1"/>
  <c r="P26" i="5"/>
  <c r="C15" i="13" s="1"/>
  <c r="P9" i="5"/>
  <c r="E13" i="13" l="1"/>
  <c r="G13" i="13"/>
  <c r="F15" i="13"/>
  <c r="G15" i="13"/>
  <c r="F27" i="13"/>
  <c r="G27" i="13"/>
  <c r="D27" i="13"/>
  <c r="E27" i="13"/>
  <c r="E17" i="13"/>
  <c r="D17" i="13"/>
  <c r="F17" i="13"/>
  <c r="E15" i="13"/>
  <c r="D15" i="13"/>
  <c r="H15" i="13" s="1"/>
  <c r="D13" i="13"/>
  <c r="F13" i="13"/>
  <c r="C23" i="13"/>
  <c r="G23" i="13" s="1"/>
  <c r="M7" i="5"/>
  <c r="O7" i="5"/>
  <c r="O102" i="5" s="1"/>
  <c r="H17" i="13" l="1"/>
  <c r="H13" i="13"/>
  <c r="H27" i="13"/>
  <c r="F23" i="13"/>
  <c r="D23" i="13"/>
  <c r="E23" i="13"/>
  <c r="P7" i="5"/>
  <c r="H23" i="13" l="1"/>
  <c r="P6" i="5"/>
  <c r="C9" i="13" s="1"/>
  <c r="G9" i="13" s="1"/>
  <c r="P13" i="5"/>
  <c r="P11" i="5" s="1"/>
  <c r="F9" i="13" l="1"/>
  <c r="E9" i="13"/>
  <c r="D9" i="13"/>
  <c r="H9" i="13" s="1"/>
  <c r="C11" i="13"/>
  <c r="G11" i="13" s="1"/>
  <c r="P39" i="5"/>
  <c r="P37" i="5"/>
  <c r="D11" i="13" l="1"/>
  <c r="E11" i="13"/>
  <c r="F11" i="13"/>
  <c r="P36" i="5"/>
  <c r="N43" i="5"/>
  <c r="N102" i="5" s="1"/>
  <c r="I43" i="5"/>
  <c r="H11" i="13" l="1"/>
  <c r="P34" i="5"/>
  <c r="C19" i="13" s="1"/>
  <c r="G19" i="13" s="1"/>
  <c r="P43" i="5"/>
  <c r="P41" i="5" s="1"/>
  <c r="P102" i="5" s="1"/>
  <c r="E19" i="13" l="1"/>
  <c r="D19" i="13"/>
  <c r="F19" i="13"/>
  <c r="C21" i="13"/>
  <c r="H19" i="13" l="1"/>
  <c r="C31" i="13"/>
  <c r="C32" i="13" s="1"/>
  <c r="G21" i="13"/>
  <c r="G31" i="13" s="1"/>
  <c r="N103" i="5"/>
  <c r="D17" i="2" s="1"/>
  <c r="D14" i="2" s="1"/>
  <c r="D19" i="2" s="1"/>
  <c r="O103" i="5"/>
  <c r="G104" i="5"/>
  <c r="F21" i="13"/>
  <c r="F31" i="13" s="1"/>
  <c r="E21" i="13"/>
  <c r="H21" i="13" s="1"/>
  <c r="Q81" i="5" l="1"/>
  <c r="Q82" i="5"/>
  <c r="E31" i="13"/>
  <c r="H31" i="13"/>
  <c r="Q70" i="5"/>
  <c r="Q17" i="5"/>
  <c r="D31" i="13"/>
  <c r="D32" i="13" s="1"/>
  <c r="Q80" i="5"/>
  <c r="Q101" i="5"/>
  <c r="Q100" i="5"/>
  <c r="C30" i="13" s="1"/>
  <c r="Q76" i="5"/>
  <c r="Q77" i="5"/>
  <c r="Q78" i="5"/>
  <c r="Q79" i="5"/>
  <c r="Q97" i="5"/>
  <c r="Q96" i="5"/>
  <c r="Q95" i="5"/>
  <c r="Q94" i="5"/>
  <c r="Q93" i="5"/>
  <c r="Q73" i="5"/>
  <c r="Q74" i="5"/>
  <c r="Q75" i="5"/>
  <c r="Q69" i="5"/>
  <c r="Q72" i="5"/>
  <c r="Q68" i="5"/>
  <c r="Q71" i="5"/>
  <c r="Q25" i="5"/>
  <c r="Q85" i="5"/>
  <c r="Q91" i="5"/>
  <c r="Q92" i="5"/>
  <c r="Q87" i="5"/>
  <c r="Q88" i="5"/>
  <c r="Q89" i="5"/>
  <c r="Q90" i="5"/>
  <c r="Q18" i="5"/>
  <c r="Q19" i="5"/>
  <c r="Q86" i="5"/>
  <c r="Q83" i="5"/>
  <c r="C26" i="13" s="1"/>
  <c r="Q55" i="5"/>
  <c r="Q10" i="5"/>
  <c r="Q53" i="5"/>
  <c r="Q54" i="5"/>
  <c r="Q52" i="5"/>
  <c r="Q51" i="5"/>
  <c r="Q6" i="5"/>
  <c r="C10" i="13" s="1"/>
  <c r="Q50" i="5"/>
  <c r="Q47" i="5"/>
  <c r="Q49" i="5"/>
  <c r="Q48" i="5"/>
  <c r="Q44" i="5"/>
  <c r="Q45" i="5"/>
  <c r="Q46" i="5"/>
  <c r="Q15" i="5"/>
  <c r="Q16" i="5"/>
  <c r="Q14" i="5"/>
  <c r="Q40" i="5"/>
  <c r="Q33" i="5"/>
  <c r="Q32" i="5"/>
  <c r="Q30" i="5"/>
  <c r="C18" i="13" s="1"/>
  <c r="Q59" i="5"/>
  <c r="Q66" i="5"/>
  <c r="Q67" i="5"/>
  <c r="Q38" i="5"/>
  <c r="Q43" i="5"/>
  <c r="Q24" i="5"/>
  <c r="Q20" i="5"/>
  <c r="C14" i="13" s="1"/>
  <c r="Q56" i="5"/>
  <c r="C24" i="13" s="1"/>
  <c r="Q57" i="5"/>
  <c r="Q12" i="5"/>
  <c r="Q28" i="5"/>
  <c r="Q13" i="5"/>
  <c r="Q31" i="5"/>
  <c r="Q62" i="5"/>
  <c r="Q60" i="5"/>
  <c r="Q99" i="5"/>
  <c r="Q63" i="5"/>
  <c r="Q9" i="5"/>
  <c r="Q27" i="5"/>
  <c r="Q65" i="5"/>
  <c r="Q39" i="5"/>
  <c r="Q41" i="5"/>
  <c r="C22" i="13" s="1"/>
  <c r="Q8" i="5"/>
  <c r="Q35" i="5"/>
  <c r="Q29" i="5"/>
  <c r="Q34" i="5"/>
  <c r="C20" i="13" s="1"/>
  <c r="Q11" i="5"/>
  <c r="C12" i="13" s="1"/>
  <c r="Q84" i="5"/>
  <c r="Q64" i="5"/>
  <c r="Q22" i="5"/>
  <c r="Q37" i="5"/>
  <c r="Q7" i="5"/>
  <c r="Q58" i="5"/>
  <c r="Q23" i="5"/>
  <c r="Q26" i="5"/>
  <c r="C16" i="13" s="1"/>
  <c r="Q21" i="5"/>
  <c r="Q98" i="5"/>
  <c r="C28" i="13" s="1"/>
  <c r="Q36" i="5"/>
  <c r="Q42" i="5"/>
  <c r="Q61" i="5"/>
  <c r="E32" i="13" l="1"/>
  <c r="F32" i="13" s="1"/>
  <c r="G32" i="13" s="1"/>
</calcChain>
</file>

<file path=xl/comments1.xml><?xml version="1.0" encoding="utf-8"?>
<comments xmlns="http://schemas.openxmlformats.org/spreadsheetml/2006/main">
  <authors>
    <author>Lurin Mendes Macedo de Vasconcellos Dias</author>
  </authors>
  <commentList>
    <comment ref="D34" authorId="0" shapeId="0">
      <text>
        <r>
          <rPr>
            <b/>
            <sz val="9"/>
            <color indexed="81"/>
            <rFont val="Segoe UI"/>
            <family val="2"/>
          </rPr>
          <t>Lurin Mendes Macedo de Vasconcellos Dias:</t>
        </r>
        <r>
          <rPr>
            <sz val="9"/>
            <color indexed="81"/>
            <rFont val="Segoe UI"/>
            <family val="2"/>
          </rPr>
          <t xml:space="preserve">
SEPARAR MAT E M.O
</t>
        </r>
      </text>
    </comment>
  </commentList>
</comments>
</file>

<file path=xl/sharedStrings.xml><?xml version="1.0" encoding="utf-8"?>
<sst xmlns="http://schemas.openxmlformats.org/spreadsheetml/2006/main" count="2359" uniqueCount="696">
  <si>
    <t>Obra</t>
  </si>
  <si>
    <t>Bancos</t>
  </si>
  <si>
    <t>B.D.I.</t>
  </si>
  <si>
    <t>Encargos Sociais</t>
  </si>
  <si>
    <t>Reforma em Balneário Camboriú</t>
  </si>
  <si>
    <t>27,0%</t>
  </si>
  <si>
    <t>Planilha Orçamentária Sintética Com Valor do Material e da Mão de Obra</t>
  </si>
  <si>
    <t>Item</t>
  </si>
  <si>
    <t>Código</t>
  </si>
  <si>
    <t>Banco</t>
  </si>
  <si>
    <t>Descrição</t>
  </si>
  <si>
    <t>Und</t>
  </si>
  <si>
    <t>Quant.</t>
  </si>
  <si>
    <t>Valor Unit</t>
  </si>
  <si>
    <t>Valor Unit com BDI</t>
  </si>
  <si>
    <t>Total</t>
  </si>
  <si>
    <t>Peso (%)</t>
  </si>
  <si>
    <t>M. O.</t>
  </si>
  <si>
    <t>MAT.</t>
  </si>
  <si>
    <t xml:space="preserve"> 1 </t>
  </si>
  <si>
    <t>ADMINISTRAÇÃO DA OBRA</t>
  </si>
  <si>
    <t xml:space="preserve"> 1.1 </t>
  </si>
  <si>
    <t xml:space="preserve"> 00000044 </t>
  </si>
  <si>
    <t>Próprio</t>
  </si>
  <si>
    <t>Anotação de responsabilidade técnica para obras acima de 15 mil</t>
  </si>
  <si>
    <t>UN</t>
  </si>
  <si>
    <t xml:space="preserve"> 1.2 </t>
  </si>
  <si>
    <t>SINAPI</t>
  </si>
  <si>
    <t>ENGENHEIRO CIVIL DE OBRA JUNIOR COM ENCARGOS COMPLEMENTARES</t>
  </si>
  <si>
    <t>H</t>
  </si>
  <si>
    <t xml:space="preserve"> 1.3 </t>
  </si>
  <si>
    <t>ENCARREGADO GERAL COM ENCARGOS COMPLEMENTARES</t>
  </si>
  <si>
    <t xml:space="preserve"> 2 </t>
  </si>
  <si>
    <t>SERVIÇOS GERAIS</t>
  </si>
  <si>
    <t xml:space="preserve"> 2.1 </t>
  </si>
  <si>
    <t>PLACA DE OBRA EM CHAPA GALVANIZADA ADESIVADA, DIMENSÕES  1,50 X 1,00 M - BASEADO EM SUDECAP (01.03.03)</t>
  </si>
  <si>
    <t>m²</t>
  </si>
  <si>
    <t xml:space="preserve"> 2.2 </t>
  </si>
  <si>
    <t xml:space="preserve"> 97053 </t>
  </si>
  <si>
    <t>SINALIZAÇÃO COM FITA FIXADA EM CONE PLÁSTICO, INCLUINDO CONE. AF_11/2017</t>
  </si>
  <si>
    <t>M</t>
  </si>
  <si>
    <t>m³</t>
  </si>
  <si>
    <t xml:space="preserve"> 3 </t>
  </si>
  <si>
    <t>PINTURA INTERNA</t>
  </si>
  <si>
    <t xml:space="preserve"> 3.1 </t>
  </si>
  <si>
    <t xml:space="preserve"> 3.2 </t>
  </si>
  <si>
    <t xml:space="preserve"> 3.3 </t>
  </si>
  <si>
    <t xml:space="preserve"> 88485 </t>
  </si>
  <si>
    <t>APLICAÇÃO DE FUNDO SELADOR ACRÍLICO EM PAREDES, UMA DEMÃO. AF_06/2014</t>
  </si>
  <si>
    <t xml:space="preserve"> 3.4 </t>
  </si>
  <si>
    <t xml:space="preserve"> 88489 </t>
  </si>
  <si>
    <t>APLICAÇÃO MANUAL DE PINTURA COM TINTA LÁTEX ACRÍLICA EM PAREDES, DUAS DEMÃOS. AF_06/2014</t>
  </si>
  <si>
    <t xml:space="preserve"> 4 </t>
  </si>
  <si>
    <t>PISOS</t>
  </si>
  <si>
    <t xml:space="preserve"> 4.1 </t>
  </si>
  <si>
    <t xml:space="preserve"> 97634 </t>
  </si>
  <si>
    <t>DEMOLIÇÃO DE REVESTIMENTO CERÂMICO, DE FORMA MECANIZADA COM MARTELETE, SEM REAPROVEITAMENTO. AF_12/2017</t>
  </si>
  <si>
    <t xml:space="preserve"> 4.2 </t>
  </si>
  <si>
    <t xml:space="preserve"> 87247 </t>
  </si>
  <si>
    <t>REVESTIMENTO CERÂMICO PARA PISO COM PLACAS TIPO ESMALTADA EXTRA DE DIMENSÕES 35X35 CM APLICADA EM AMBIENTES DE ÁREA ENTRE 5 M2 E 10 M2. AF_06/2014</t>
  </si>
  <si>
    <t xml:space="preserve"> 4.3 </t>
  </si>
  <si>
    <t xml:space="preserve"> 5 </t>
  </si>
  <si>
    <t>FORRO</t>
  </si>
  <si>
    <t xml:space="preserve"> 96120 </t>
  </si>
  <si>
    <t xml:space="preserve"> 6 </t>
  </si>
  <si>
    <t>DIVISÓRIAS</t>
  </si>
  <si>
    <t xml:space="preserve"> 6.1 </t>
  </si>
  <si>
    <t>Retirada de divisória naval</t>
  </si>
  <si>
    <t xml:space="preserve"> 6.2 </t>
  </si>
  <si>
    <t>Divisória cega tipo naval Divilux 35 Fibraroc Formidur BPplus - instalado</t>
  </si>
  <si>
    <t xml:space="preserve"> 6.3 </t>
  </si>
  <si>
    <t>Divisória painel com vidro painel/vidro/vidro</t>
  </si>
  <si>
    <t xml:space="preserve"> 6.4 </t>
  </si>
  <si>
    <t>Divisória naval do tipo painel/vidro/painel</t>
  </si>
  <si>
    <t xml:space="preserve"> 6.5 </t>
  </si>
  <si>
    <t>Porta para divisória 820 x 2110 x 35mm, naval ou similar</t>
  </si>
  <si>
    <t xml:space="preserve"> 7 </t>
  </si>
  <si>
    <t xml:space="preserve"> 7.1 </t>
  </si>
  <si>
    <t xml:space="preserve"> 7.2 </t>
  </si>
  <si>
    <t xml:space="preserve"> 8 </t>
  </si>
  <si>
    <t>Retirada e recolocação de eletrodutos - Baseada em ORSE 0201002116 e SINAPI 91852</t>
  </si>
  <si>
    <t xml:space="preserve"> 97665 </t>
  </si>
  <si>
    <t>REMOÇÃO DE LUMINÁRIAS, DE FORMA MANUAL, SEM REAPROVEITAMENTO. AF_12/2017</t>
  </si>
  <si>
    <t xml:space="preserve"> 97660 </t>
  </si>
  <si>
    <t>REMOÇÃO DE INTERRUPTORES/TOMADAS ELÉTRICAS, DE FORMA MANUAL, SEM REAPROVEITAMENTO. AF_12/2017</t>
  </si>
  <si>
    <t>Instalação de ponto da rede lógica, baseado em EMOP 15.015.0203-A</t>
  </si>
  <si>
    <t xml:space="preserve"> 104475 </t>
  </si>
  <si>
    <t>COMPOSIÇÃO PARAMÉTRICA DE PONTO ELÉTRICO DE TOMADA DE USO GERAL 2P+T (10A/250V) EM EDIFÍCIO RESIDENCIAL COM ELETRODUTO EMBUTIDO EM RASGOS NAS PAREDES, INCLUSO TOMADA, ELETRODUTO, CABO, RASGO, QUEBRA E CHUMBAMENTO. AF_11/2022</t>
  </si>
  <si>
    <t xml:space="preserve"> 91959 </t>
  </si>
  <si>
    <t>INTERRUPTOR SIMPLES (2 MÓDULOS), 10A/250V, INCLUINDO SUPORTE E PLACA - FORNECIMENTO E INSTALAÇÃO. AF_12/2015</t>
  </si>
  <si>
    <t>Ponto de tomada para ar-condicionado - Baseado em ORSE 3397</t>
  </si>
  <si>
    <t xml:space="preserve"> 104473 </t>
  </si>
  <si>
    <t>PERSIANAS</t>
  </si>
  <si>
    <t>Persiana vertical em tecido, largura das lâminas 89/100 mm manual</t>
  </si>
  <si>
    <t>COMPOSIÇÃO DO B.D.I. - DESONERADO</t>
  </si>
  <si>
    <t>ITEM</t>
  </si>
  <si>
    <t>DISCRIMINAÇÃO</t>
  </si>
  <si>
    <t>TAXA (%)</t>
  </si>
  <si>
    <t>Adminstração Central (AC)</t>
  </si>
  <si>
    <t>Despesas Financeiras (DF)</t>
  </si>
  <si>
    <t>Riscos</t>
  </si>
  <si>
    <t>Garantia</t>
  </si>
  <si>
    <t>Lucro Bruto (LB)</t>
  </si>
  <si>
    <t>Impostos (IM)</t>
  </si>
  <si>
    <t>PIS</t>
  </si>
  <si>
    <t>COFINS</t>
  </si>
  <si>
    <t>CPRB (INSS)</t>
  </si>
  <si>
    <t>B.D.I. CALCULADO</t>
  </si>
  <si>
    <t>B.D.I. ADOTADO</t>
  </si>
  <si>
    <t>DEMONSTRATIVO DO CÁLCULO</t>
  </si>
  <si>
    <t>BDI =( ((1+AC+S+R+G)(1+DF)(1+L))/(1-T))-1</t>
  </si>
  <si>
    <t>Material</t>
  </si>
  <si>
    <t>FITA ISOLANTE ADESIVA ANTICHAMA, USO ATE 750 V, EM ROLO DE 19 MM X 20 M</t>
  </si>
  <si>
    <t xml:space="preserve"> 00020111 </t>
  </si>
  <si>
    <t>Insumo</t>
  </si>
  <si>
    <t>KIT DE PROTECAO ARSTOP PARA AR CONDICIONADO, TOMADA PADRAO 2P+T 20 A, COM DISJUNTOR UNIPOLAR DIN 20A</t>
  </si>
  <si>
    <t xml:space="preserve"> 00012118 </t>
  </si>
  <si>
    <t>Mão de Obra</t>
  </si>
  <si>
    <t>SERVENTE DE OBRAS</t>
  </si>
  <si>
    <t xml:space="preserve"> 00006111 </t>
  </si>
  <si>
    <t>ELETRODUTO PVC FLEXIVEL CORRUGADO, COR AMARELA, DE 25 MM</t>
  </si>
  <si>
    <t xml:space="preserve"> 00002688 </t>
  </si>
  <si>
    <t>ELETRICISTA (HORISTA)</t>
  </si>
  <si>
    <t xml:space="preserve"> 00002436 </t>
  </si>
  <si>
    <t>FIO DE COBRE, SOLIDO, CLASSE 1, ISOLACAO EM PVC/A, ANTICHAMA BWF-B, 450/750V, SECAO NOMINAL 4 MM2</t>
  </si>
  <si>
    <t xml:space="preserve"> 00000944 </t>
  </si>
  <si>
    <t>INEL - INSTALAÇÃO ELÉTRICA/ELETRIFICAÇÃO E ILUMINAÇÃO EXTERNA</t>
  </si>
  <si>
    <t>Composição</t>
  </si>
  <si>
    <t>Tipo</t>
  </si>
  <si>
    <t>CAIXA DE LUZ "3 X 3" EM ACO ESMALTADA</t>
  </si>
  <si>
    <t xml:space="preserve"> 00002555 </t>
  </si>
  <si>
    <t>CURVA 90 GRAUS, CURTA, DE PVC RIGIDO ROSCAVEL, DE 3/4", PARA ELETRODUTO</t>
  </si>
  <si>
    <t xml:space="preserve"> 00039272 </t>
  </si>
  <si>
    <t>LUVA DE PRESSAO, EM PVC, DE 20 MM, PARA ELETRODUTO FLEXIVEL</t>
  </si>
  <si>
    <t xml:space="preserve"> 00001904 </t>
  </si>
  <si>
    <t>ELETRODUTO DE PVC RIGIDO ROSCAVEL DE 3/4 ", SEM LUVA</t>
  </si>
  <si>
    <t xml:space="preserve"> 00002674 </t>
  </si>
  <si>
    <t>ARRUELA EM ALUMINIO, COM ROSCA, DE 3/4", PARA ELETRODUTO</t>
  </si>
  <si>
    <t xml:space="preserve"> 00039209 </t>
  </si>
  <si>
    <t>BUCHA EM ALUMINIO, COM ROSCA, DE 3/4", PARA ELETRODUTO</t>
  </si>
  <si>
    <t xml:space="preserve"> 00039175 </t>
  </si>
  <si>
    <t>KG</t>
  </si>
  <si>
    <t>ARAME GALVANIZADO 16 BWG, D = 1,65MM (0,0166 KG/M)</t>
  </si>
  <si>
    <t>LIPR - LIGAÇÕES PREDIAIS ÁGUA/ESGOTO/ENERGIA/TELEFONE</t>
  </si>
  <si>
    <t>SEDI - SERVIÇOS DIVERSOS</t>
  </si>
  <si>
    <t>AUXILIAR DE ELETRICISTA COM ENCARGOS COMPLEMENTARES</t>
  </si>
  <si>
    <t xml:space="preserve"> 88247 </t>
  </si>
  <si>
    <t>Composição Auxiliar</t>
  </si>
  <si>
    <t>ELETRICISTA COM ENCARGOS COMPLEMENTARES</t>
  </si>
  <si>
    <t xml:space="preserve"> 88264 </t>
  </si>
  <si>
    <t>INES - INSTALAÇÕES ESPECIAIS</t>
  </si>
  <si>
    <t>AUXILIAR DE ENCANADOR OU BOMBEIRO HIDRÁULICO COM ENCARGOS COMPLEMENTARES</t>
  </si>
  <si>
    <t xml:space="preserve"> 88248 </t>
  </si>
  <si>
    <t>ENCANADOR OU BOMBEIRO HIDRÁULICO COM ENCARGOS COMPLEMENTARES</t>
  </si>
  <si>
    <t xml:space="preserve"> 88267 </t>
  </si>
  <si>
    <t>SERVENTE COM ENCARGOS COMPLEMENTARES</t>
  </si>
  <si>
    <t xml:space="preserve"> 88316 </t>
  </si>
  <si>
    <t>MECÂNICO DE REFRIGERAÇÃO COM ENCARGOS COMPLEMENTARES</t>
  </si>
  <si>
    <t xml:space="preserve"> 100308 </t>
  </si>
  <si>
    <t>MONTADOR DE ESTRUTURA METÁLICA COM ENCARGOS COMPLEMENTARES</t>
  </si>
  <si>
    <t xml:space="preserve"> 88278 </t>
  </si>
  <si>
    <t>ESQV - ESQUADRIAS/FERRAGENS/VIDROS</t>
  </si>
  <si>
    <t>INSTALAÇÃO DE VIDRO LISO INCOLOR, E = 3 MM, EM ESQUADRIA DE ALUMÍNIO OU PVC, FIXADO COM BAGUETE. AF_01/2021_PS</t>
  </si>
  <si>
    <t xml:space="preserve"> 102161 </t>
  </si>
  <si>
    <t>CARPINTEIRO DE FORMAS COM ENCARGOS COMPLEMENTARES</t>
  </si>
  <si>
    <t xml:space="preserve"> 88262 </t>
  </si>
  <si>
    <t>PEDREIRO COM ENCARGOS COMPLEMENTARES</t>
  </si>
  <si>
    <t xml:space="preserve"> 88309 </t>
  </si>
  <si>
    <t>ARGAMASSA TRAÇO 1:4 (EM VOLUME DE CIMENTO E AREIA MÉDIA ÚMIDA) COM ADIÇÃO DE IMPERMEABILIZANTE, PREPARO MANUAL. AF_08/2019</t>
  </si>
  <si>
    <t xml:space="preserve"> 100486 </t>
  </si>
  <si>
    <t>ASTU - ASSENTAMENTO DE TUBOS E PECAS</t>
  </si>
  <si>
    <t>PREGO DE ACO POLIDO COM CABECA 17 X 27 (2 1/2 X 11)</t>
  </si>
  <si>
    <t xml:space="preserve"> 00005069 </t>
  </si>
  <si>
    <t>PONTALETE *7,5 X 7,5* CM EM PINUS, MISTA OU EQUIVALENTE DA REGIAO - BRUTA</t>
  </si>
  <si>
    <t xml:space="preserve"> 00004491 </t>
  </si>
  <si>
    <t>SARRAFO NAO APARELHADO *2,5 X 7* CM, EM MACARANDUBA, ANGELIM OU EQUIVALENTE DA REGIAO -  BRUTA</t>
  </si>
  <si>
    <t xml:space="preserve"> 00004417 </t>
  </si>
  <si>
    <t>PLACA DE OBRA (PARA CONSTRUCAO CIVIL) EM CHAPA GALVANIZADA *N. 22*, ADESIVADA, DE *2,4 X 1,2* M (SEM POSTES PARA FIXACAO)</t>
  </si>
  <si>
    <t xml:space="preserve"> 00004813 </t>
  </si>
  <si>
    <t>Composições Principais</t>
  </si>
  <si>
    <t>Composições Analíticas com Preço Unitário</t>
  </si>
  <si>
    <t>LAMPADA LED TUBULAR BIVOLT 9/10 W, BASE G13</t>
  </si>
  <si>
    <t xml:space="preserve"> 00039386 </t>
  </si>
  <si>
    <t>Custo unitário</t>
  </si>
  <si>
    <t>M.O</t>
  </si>
  <si>
    <t>Mat.</t>
  </si>
  <si>
    <t>CUSTO TOTAL</t>
  </si>
  <si>
    <t>PERCENTUAL M.O E MAT</t>
  </si>
  <si>
    <t>Custo total</t>
  </si>
  <si>
    <t>Preço Total</t>
  </si>
  <si>
    <t>UNID.</t>
  </si>
  <si>
    <t>MESES</t>
  </si>
  <si>
    <t>Nº HORAS POR SEMANA</t>
  </si>
  <si>
    <t>Nº DE SEMANAS POR MÊS</t>
  </si>
  <si>
    <t>HORAS POR MÊS</t>
  </si>
  <si>
    <t>CUSTO UNITÁRO MÃO DE OBRA COM ENCARGOS</t>
  </si>
  <si>
    <t>CUSTO MAT. E EQUIP. UNIT</t>
  </si>
  <si>
    <t>ENCARGOS SOCIAIS HORISTA</t>
  </si>
  <si>
    <t>ENCARGOS SOCIAIS MENSALISTA</t>
  </si>
  <si>
    <t>CUSTO UNITÁRIO MÂO DE OBRA (MÊS)</t>
  </si>
  <si>
    <t>CUSTO UNITÁRIO MAT (MÊS)</t>
  </si>
  <si>
    <t>COMP.ADM.001</t>
  </si>
  <si>
    <t>h</t>
  </si>
  <si>
    <t>COMP.ADM.002</t>
  </si>
  <si>
    <t>RODATETO (MOLDURA DE GESSO). AF_05/2017</t>
  </si>
  <si>
    <t>Contrato Ceman</t>
  </si>
  <si>
    <t>OBRA:</t>
  </si>
  <si>
    <t>TOTAL</t>
  </si>
  <si>
    <t>Mês</t>
  </si>
  <si>
    <t xml:space="preserve">SINAPI - 03/2023 - Santa Catarina
</t>
  </si>
  <si>
    <t>Total MO</t>
  </si>
  <si>
    <t>Total Material + Equip.</t>
  </si>
  <si>
    <t xml:space="preserve"> CPO-1068 </t>
  </si>
  <si>
    <t>Desonerado: 0,00%</t>
  </si>
  <si>
    <t>Custo Unit. MO</t>
  </si>
  <si>
    <t>Custo Unit. Equipamentos</t>
  </si>
  <si>
    <t>Custo Unit. Material</t>
  </si>
  <si>
    <t xml:space="preserve"> CPO-008 </t>
  </si>
  <si>
    <t xml:space="preserve"> CPO-009 </t>
  </si>
  <si>
    <t>ORÇAMENTO CEMAN</t>
  </si>
  <si>
    <t xml:space="preserve">CPO-010 </t>
  </si>
  <si>
    <t xml:space="preserve">CPO-011 </t>
  </si>
  <si>
    <t xml:space="preserve">CPO-012 </t>
  </si>
  <si>
    <t xml:space="preserve"> CPO-013 </t>
  </si>
  <si>
    <t xml:space="preserve"> CPO-039 </t>
  </si>
  <si>
    <t xml:space="preserve"> CPO-015 </t>
  </si>
  <si>
    <t xml:space="preserve">CPO-016 </t>
  </si>
  <si>
    <t xml:space="preserve">CPO-1068 </t>
  </si>
  <si>
    <t xml:space="preserve">CPO-008 </t>
  </si>
  <si>
    <t xml:space="preserve">CPO-009 </t>
  </si>
  <si>
    <t xml:space="preserve"> CPO-010 </t>
  </si>
  <si>
    <t xml:space="preserve">CPO-013 </t>
  </si>
  <si>
    <t xml:space="preserve">CPO-039 </t>
  </si>
  <si>
    <t xml:space="preserve">CPO-015 </t>
  </si>
  <si>
    <t xml:space="preserve">SINAPI - 03/2023 - Santa Catarina
</t>
  </si>
  <si>
    <t>CRONOGRAMA FÍSICO-FINANCEIRO</t>
  </si>
  <si>
    <t>REVISÃO:</t>
  </si>
  <si>
    <t>CLIENTE:</t>
  </si>
  <si>
    <t>DATA ORÇAMENTO:</t>
  </si>
  <si>
    <t>ENDEREÇO:</t>
  </si>
  <si>
    <t>DATA DA REVISÃO:</t>
  </si>
  <si>
    <t>MUNICIPIO:</t>
  </si>
  <si>
    <t>DESCRIÇÃO DOS SERVIÇOS</t>
  </si>
  <si>
    <t>PREÇO TOTAL (C/ BDI)</t>
  </si>
  <si>
    <t>1º MÊS</t>
  </si>
  <si>
    <t>2º MÊS</t>
  </si>
  <si>
    <t>3º MÊS</t>
  </si>
  <si>
    <t>Custo do mês</t>
  </si>
  <si>
    <t>TOTAL MENSAL</t>
  </si>
  <si>
    <t>TOTAL ACUMULADO</t>
  </si>
  <si>
    <t>PREÇO TOTAL COM BDI</t>
  </si>
  <si>
    <t>BALNEÁRIO CAMBORIÚ - SC</t>
  </si>
  <si>
    <t>REFORMA DA VT DE BALNEÁRIO CAMBORIÚ</t>
  </si>
  <si>
    <t>Desonerado: 0,00%                                                              Horista: 85,49%                                                            Mensalista: 47,84%</t>
  </si>
  <si>
    <t>INSTALAÇÕES ELÉTRICAS E TELECOM</t>
  </si>
  <si>
    <t>LUMINÁRIA LED EMBUTIR POTÊNCIA 36W, FLUXO LUMINOSO ACIMA DE 4000lm, Eficiência 116hW, dimensões 617x617x106mm. Aletas e refletores em AL. Para 4 lâmpadas Led T5. Difusor policarbonato  texturizado</t>
  </si>
  <si>
    <t>MÉDIA</t>
  </si>
  <si>
    <t>Valor (m²):</t>
  </si>
  <si>
    <t>https://www.plenobras.com.br/7901/luminaria-comercial-emb-4x161820w-sreatorlamp-t8-chapa-br-refl-alum-caletas-parab-abalux</t>
  </si>
  <si>
    <t>Site:</t>
  </si>
  <si>
    <t>https://www.claron.com.br/z5phn7kxk-luminaria-comercial-aletada-alto-rendimento-de-sobrepor-para-lampada-led-t8-4x-9w-10w?utm_source=Site&amp;utm_medium=GoogleMerchant&amp;utm_campaign=GoogleMerchant&amp;gclid=Cj0KCQjw3a2iBhCFARIsAD4jQB0z0YfoI2AOIU59rrBQKlMEta10uPKwU5wuI3XVUxuxktETBGJDWaIaAgSXEALw_wcB</t>
  </si>
  <si>
    <t>https://combinado.com.br/luminaria-calha-62x62-embutir-aletada.html</t>
  </si>
  <si>
    <t>72.313.828/0001-00</t>
  </si>
  <si>
    <t>CNPJ:</t>
  </si>
  <si>
    <t>21.815.457/0001-24</t>
  </si>
  <si>
    <t>29.103.816/0001-22</t>
  </si>
  <si>
    <t>Plenobras Distribuidora</t>
  </si>
  <si>
    <t>Nome:</t>
  </si>
  <si>
    <t>Claron Iluminação LTDA ME</t>
  </si>
  <si>
    <t>Combinado</t>
  </si>
  <si>
    <t>Quantidade de luminárias em projeto (Un)</t>
  </si>
  <si>
    <t>Densidade (Luminárias/m²)</t>
  </si>
  <si>
    <t>Área sem luminárias em projeto</t>
  </si>
  <si>
    <t>Quantidade de luminárias necessárias sem mão de obra</t>
  </si>
  <si>
    <t>8.4</t>
  </si>
  <si>
    <t>8.5</t>
  </si>
  <si>
    <t>8.6</t>
  </si>
  <si>
    <t>8.7</t>
  </si>
  <si>
    <t>8.8</t>
  </si>
  <si>
    <t>8.9</t>
  </si>
  <si>
    <t>8.10</t>
  </si>
  <si>
    <t>Total de luminárias</t>
  </si>
  <si>
    <t>Espaço smart</t>
  </si>
  <si>
    <t>Terac forros e isolamentos</t>
  </si>
  <si>
    <t>D&amp;D Quality</t>
  </si>
  <si>
    <t>19.051.774/0001-70</t>
  </si>
  <si>
    <t>29.002.845/0001-06</t>
  </si>
  <si>
    <t>25.464.979/0001-80</t>
  </si>
  <si>
    <t>https://www.espacosmart.com.br/smart-clean-forro-de-gesso-com-pelicula-pvc-branco-625x1250-8mm/p?idsku=67&amp;utm_source=&amp;utm_medium=&amp;utm_campaign=&amp;utm_content=&amp;utm_term=&amp;gclid=Cj0KCQiA8t2eBhDeARIsAAVEga3ufICtbkn1BHXDmx3nWWq7OtsoBU0-b2N3Qf-VUKjtztRaor9DQnQaAtD0EALw_wcB</t>
  </si>
  <si>
    <t>https://www.terac.com.br/forros-diversos/forro-de-gesso/forro-gesso-removivel-com-pelicula-de-pvc-fgr-625-x-625-x-9-5mm-c-8-pecas-terac</t>
  </si>
  <si>
    <t>https://dedquality.com.br/produto/gyprex-clean-forro-de-gesso-removivel/</t>
  </si>
  <si>
    <t>Teky</t>
  </si>
  <si>
    <t>22.193.309/0001-88</t>
  </si>
  <si>
    <t>https://www.teky.com.br/1916/eletrocalha-perfurada-galvanizada-eletrolitica-200x50x3000mm-sem-tampa-svirola-chapa-22-cemar?srsltid=AR57-fBce5z4FkaWYSl8V6pCTRDDXAcFsU8ssUhzcCphxTcRBKoA1k9_Ebo</t>
  </si>
  <si>
    <t>https://www.leroymerlin.com.br/eletrocalhaperfuradatipou200x50x3000mmnum24pzsebbrasil_1570791242</t>
  </si>
  <si>
    <t>Leroy Merlin</t>
  </si>
  <si>
    <t>01.438.784/0048-60</t>
  </si>
  <si>
    <t>Eletrosul</t>
  </si>
  <si>
    <t>02.554.116/0002-89</t>
  </si>
  <si>
    <t>https://www.eletrosul.com.br/eletrocalhas/eletrocalha-perfurada-200x050mm-3m-ch22-zincada</t>
  </si>
  <si>
    <t>Instalação de eletrocalha 200x50mm - Baseada em ORSE 3400</t>
  </si>
  <si>
    <t xml:space="preserve"> 00007583 </t>
  </si>
  <si>
    <t>BUCHA DE NYLON SEM ABA S8, COM PARAFUSO DE 4,80 X 50 MM EM ACO ZINCADO COM ROSCA SOBERBA, CABECA CHATA E FENDA PHILLIPS</t>
  </si>
  <si>
    <t xml:space="preserve"> 00000070 </t>
  </si>
  <si>
    <t>Eletrocalha 200x50mm perfurada</t>
  </si>
  <si>
    <t>m</t>
  </si>
  <si>
    <t>Valor (UN):</t>
  </si>
  <si>
    <t>Valor (m):</t>
  </si>
  <si>
    <t>8.12</t>
  </si>
  <si>
    <t>8.11</t>
  </si>
  <si>
    <t>5.1</t>
  </si>
  <si>
    <t>5.2</t>
  </si>
  <si>
    <t>Forro em placas modulares de gesso - Baseado em SINAPI 96113</t>
  </si>
  <si>
    <t>COBE - COBERTURA</t>
  </si>
  <si>
    <t xml:space="preserve"> 88269 </t>
  </si>
  <si>
    <t>GESSEIRO COM ENCARGOS COMPLEMENTARES</t>
  </si>
  <si>
    <t xml:space="preserve"> 00000345 </t>
  </si>
  <si>
    <t>ARAME GALVANIZADO 18 BWG, D = 1,24MM (0,009 KG/M)</t>
  </si>
  <si>
    <t xml:space="preserve"> 00003315 </t>
  </si>
  <si>
    <t>GESSO EM PO PARA REVESTIMENTOS/MOLDURAS/SANCAS E USO GERAL</t>
  </si>
  <si>
    <t xml:space="preserve"> 00000049 </t>
  </si>
  <si>
    <t>Forro modular de gesso</t>
  </si>
  <si>
    <t xml:space="preserve"> 00020250 </t>
  </si>
  <si>
    <t>SISAL EM FIBRA / ESTOPA SISAL PARA GESSO</t>
  </si>
  <si>
    <t xml:space="preserve"> 00040547 </t>
  </si>
  <si>
    <t>PARAFUSO ZINCADO, AUTOBROCANTE, FLANGEADO, 4,2 MM X 19 MM</t>
  </si>
  <si>
    <t>CENTO</t>
  </si>
  <si>
    <t xml:space="preserve"> CPO-017 </t>
  </si>
  <si>
    <t>Divisória cega tipo naval na cor carvalho maiorca com perfis cinza - instalado</t>
  </si>
  <si>
    <t>Cassol Centerlar</t>
  </si>
  <si>
    <t>75.400.218/0027-71</t>
  </si>
  <si>
    <t>6.6</t>
  </si>
  <si>
    <t>Cotação</t>
  </si>
  <si>
    <t>Maçaneta tipo alavanca lisa e fechadura tipo roseta redonda cromadas</t>
  </si>
  <si>
    <t>Área que comporta lum. em projeto (m²)</t>
  </si>
  <si>
    <t>5.3</t>
  </si>
  <si>
    <t xml:space="preserve"> 97640 </t>
  </si>
  <si>
    <t>REMOÇÃO DE FORROS DE DRYWALL, PVC E FIBROMINERAL, DE FORMA MANUAL, SEM REAPROVEITAMENTO. AF_12/2017</t>
  </si>
  <si>
    <t>https://www.teky.com.br/121085/totem-coluna-aluminio-branco-3m-plus-standard-dutotec</t>
  </si>
  <si>
    <t>Delta Cable Americas</t>
  </si>
  <si>
    <t>00.111.511/0005-04</t>
  </si>
  <si>
    <t>Totem coluna com 6 tomadas</t>
  </si>
  <si>
    <t xml:space="preserve"> 00000071 </t>
  </si>
  <si>
    <t xml:space="preserve"> CPO-017</t>
  </si>
  <si>
    <t xml:space="preserve"> CPO-018</t>
  </si>
  <si>
    <t>Cotação\Totem coluna\DCA</t>
  </si>
  <si>
    <t>VALOR</t>
  </si>
  <si>
    <r>
      <t>m</t>
    </r>
    <r>
      <rPr>
        <b/>
        <sz val="10"/>
        <color rgb="FF000000"/>
        <rFont val="Arial"/>
        <family val="2"/>
      </rPr>
      <t>²</t>
    </r>
  </si>
  <si>
    <t>PROTEÇÃO DE MÓVEIS E EQUIPAMENTOS COM LONA PLÁSTICA PRETA 200micras (extra forte)</t>
  </si>
  <si>
    <t>Própria</t>
  </si>
  <si>
    <t xml:space="preserve"> CPO-002</t>
  </si>
  <si>
    <t>LONA PLÁSTICA PRETA EXTRAFORTE e=200micras</t>
  </si>
  <si>
    <t>CARGA DE ENTULHO DE MODO MANUAL EM CAMINHÃO BASCULANTE 6M³ E DESCARGA LIVRE</t>
  </si>
  <si>
    <t>CPO-002</t>
  </si>
  <si>
    <t>CPO-001</t>
  </si>
  <si>
    <t xml:space="preserve"> CPO-001</t>
  </si>
  <si>
    <t>CAMINHÃO BASCULANTE 6 M3 TOCO, PESO BRUTO TOTAL 16.000 KG, CARGA ÚTIL MÁXIMA 11.130 KG, DISTÂNCIA ENTRE EIXOS 5,36 M, POTÊNCIA 185 CV, INCLUSIVE CAÇAMBA METÁLICA - CHP DIURNO. AF_06/2014</t>
  </si>
  <si>
    <t>CAMINHÃO BASCULANTE 6 M3 TOCO, PESO BRUTO TOTAL 16.000 KG, CARGA ÚTIL MÁXIMA 11.130 KG, DISTÂNCIA ENTRE EIXOS 5,36 M, POTÊNCIA 185 CV, INCLUSIVE CAÇAMBA METÁLICA - CHI DIURNO. AF_06/2014</t>
  </si>
  <si>
    <t>M³</t>
  </si>
  <si>
    <t>CHP</t>
  </si>
  <si>
    <t>CHI</t>
  </si>
  <si>
    <t>TRANSPORTE DE MATERIAIS DE ENTULHO</t>
  </si>
  <si>
    <t>LIMPEZA PERMANENTE DA OBRA</t>
  </si>
  <si>
    <t>CPO-003</t>
  </si>
  <si>
    <t>CPO-004</t>
  </si>
  <si>
    <t>Reforma FT de Balneário Camboriú</t>
  </si>
  <si>
    <t>Endereço</t>
  </si>
  <si>
    <t>Fonte de preços</t>
  </si>
  <si>
    <t xml:space="preserve"> CPO-004</t>
  </si>
  <si>
    <t>MÊS</t>
  </si>
  <si>
    <t xml:space="preserve"> CPO-003</t>
  </si>
  <si>
    <t xml:space="preserve"> PONTO ELÉTRICO DE ILUMINAÇÃO, COM INTERRUPTOR SIMPLES, EM EDIFÍCIO RESIDENCIAL COM ELETRODUTO EMBUTIDO EM RASGOS NAS PAREDES, INCLUSO TOMADA, ELETRODUTO, CABO, RASGO E CHUMBAMENTO (SEM LUMINÁRIA E LÂMPADA). AF_11/2022</t>
  </si>
  <si>
    <t>Tomada para ar-condicionado - Baseado em ORSE 3397</t>
  </si>
  <si>
    <t>2.3</t>
  </si>
  <si>
    <t>4.3</t>
  </si>
  <si>
    <t>2.4</t>
  </si>
  <si>
    <t>2.5</t>
  </si>
  <si>
    <t>2.6</t>
  </si>
  <si>
    <t xml:space="preserve">CPO-021 </t>
  </si>
  <si>
    <t xml:space="preserve"> CPO-021 </t>
  </si>
  <si>
    <t>PISO - PISOS</t>
  </si>
  <si>
    <t xml:space="preserve"> 00004791 </t>
  </si>
  <si>
    <t>ADESIVO ACRILICO DE BASE AQUOSA / COLA DE CONTATO</t>
  </si>
  <si>
    <t xml:space="preserve"> 00000053 </t>
  </si>
  <si>
    <t>Rodapé de poliestireno Santa Luzia</t>
  </si>
  <si>
    <t>Cassol centerlar</t>
  </si>
  <si>
    <t>Balaroti</t>
  </si>
  <si>
    <t>77.044.618/0048-41</t>
  </si>
  <si>
    <t>https://www.cassol.com.br/rodape-poliestireno-lev-72-7cmx2-4m-santa-luzia/p?idsku=1789577&amp;utm_source=google_MP&amp;utm_medium=cpc&amp;utm_campaign=ecomm_construcao&amp;gclid=CjwKCAiAioifBhAXEiwApzCztrtc_nYne94O-nHO1cqRiYRivmwjQVeRrjlElNLiuzC-illT03jQRxoCukcQAvD_BwE</t>
  </si>
  <si>
    <t>https://www.leroymerlin.com.br/rodape-de-poliestireno-branco-colecao-lev-7x240cm-santa-luzia_90775545?region=grande_sao_paulo&amp;gclid=CjwKCAiAioifBhAXEiwApzCztvfN6lZ1tllR_nagid7v5FeMUY4jn1yynC9Iye-v7l72by9ygahXXhoCvkEQAvD_BwE</t>
  </si>
  <si>
    <t>https://www.balaroti.com.br/rodape-poliestireno-13x7x240cm-branco-lev72-136257/p?idsku=136257&amp;gclid=CjwKCAiAioifBhAXEiwApzCztjHwk_hGK140UCJsXbRwBwINQH9Nt_tVWnpzCcUhfCGyJYhK9mAXQRoCHxsQAvD_BwE</t>
  </si>
  <si>
    <t>Valor:</t>
  </si>
  <si>
    <t>7.3</t>
  </si>
  <si>
    <t xml:space="preserve"> 103333 </t>
  </si>
  <si>
    <t>ALVENARIA DE VEDAÇÃO DE BLOCOS CERÂMICOS FURADOS NA HORIZONTAL DE 9X14X19 CM (ESPESSURA 9 CM) E ARGAMASSA DE ASSENTAMENTO COM PREPARO MANUAL. AF_12/2021</t>
  </si>
  <si>
    <t>7.4</t>
  </si>
  <si>
    <t xml:space="preserve"> 87894 </t>
  </si>
  <si>
    <t>CHAPISCO APLICADO EM ALVENARIA (SEM PRESENÇA DE VÃOS) E ESTRUTURAS DE CONCRETO DE FACHADA, COM COLHER DE PEDREIRO.  ARGAMASSA TRAÇO 1:3 COM PREPARO EM BETONEIRA 400L. AF_10/2022</t>
  </si>
  <si>
    <t>7.5</t>
  </si>
  <si>
    <t xml:space="preserve"> 104234 </t>
  </si>
  <si>
    <t>EMBOÇO OU MASSA ÚNICA EM ARGAMASSA TRAÇO 1:2:8, PREPARO MANUAL, APLICADA MANUALMENTE EM PANOS DE FACHADA SEM PRESENÇA DE VÃOS, ESPESSURA DE 25 MM, ACESSO POR ANDAIME. AF_08/2022</t>
  </si>
  <si>
    <t xml:space="preserve"> CPO-18 </t>
  </si>
  <si>
    <t>Rede de drenagem para ar condicionado</t>
  </si>
  <si>
    <t xml:space="preserve"> 00009868 </t>
  </si>
  <si>
    <t>TUBO PVC, SOLDAVEL, DE 25 MM, AGUA FRIA (NBR-5648)</t>
  </si>
  <si>
    <t xml:space="preserve"> 00001956 </t>
  </si>
  <si>
    <t>CURVA DE PVC 90 GRAUS, SOLDAVEL, 25 MM, COR MARROM, PARA AGUA FRIA PREDIAL</t>
  </si>
  <si>
    <t xml:space="preserve"> 00003884 </t>
  </si>
  <si>
    <t>LUVA PVC, ROSCAVEL, 3/4", AGUA FRIA PREDIAL</t>
  </si>
  <si>
    <t xml:space="preserve"> 00000076 </t>
  </si>
  <si>
    <t>Adaptador de mangueira com instalação - Baseado na obra de troca de esquadrias 2023</t>
  </si>
  <si>
    <t xml:space="preserve"> 00007123 </t>
  </si>
  <si>
    <t>TE PVC, ROSCAVEL, 90 GRAUS, 3/4", AGUA FRIA PREDIAL</t>
  </si>
  <si>
    <t xml:space="preserve"> 00039129 </t>
  </si>
  <si>
    <t>ABRACADEIRA EM ACO PARA AMARRACAO DE ELETRODUTOS, TIPO D, COM 1" E CUNHA DE FIXACAO</t>
  </si>
  <si>
    <t>7.6</t>
  </si>
  <si>
    <t>Cadeira suspensa manual</t>
  </si>
  <si>
    <t>Troca de posição da cadeira suspensa manual</t>
  </si>
  <si>
    <t>FOMA - FORNECIMENTO DE MATERIAIS E EQUIPAMENTOS</t>
  </si>
  <si>
    <t xml:space="preserve"> 88315 </t>
  </si>
  <si>
    <t>SERRALHEIRO COM ENCARGOS COMPLEMENTARES</t>
  </si>
  <si>
    <t xml:space="preserve"> 88251 </t>
  </si>
  <si>
    <t>AUXILIAR DE SERRALHEIRO COM ENCARGOS COMPLEMENTARES</t>
  </si>
  <si>
    <t xml:space="preserve"> 00038374 </t>
  </si>
  <si>
    <t>CADEIRA SUSPENSA MANUAL / BALANCIM INDIVIDUAL (NBR 14751)</t>
  </si>
  <si>
    <t xml:space="preserve"> 00041953 </t>
  </si>
  <si>
    <t>CABO DE ACO GALVANIZADO, DIAMETRO 12,7 MM (1/2"), COM ALMA DE FIBRA 6 X 25 F</t>
  </si>
  <si>
    <t>CPO-19</t>
  </si>
  <si>
    <t>CPO-20</t>
  </si>
  <si>
    <t>7.7</t>
  </si>
  <si>
    <t>7.8</t>
  </si>
  <si>
    <t xml:space="preserve"> 103255 </t>
  </si>
  <si>
    <t>AR CONDICIONADO SPLIT ON/OFF, HI-WALL (PAREDE), 24000 BTUS/H, CICLO QUENTE/FRIO - FORNECIMENTO E INSTALAÇÃO. AF_11/2021_PE</t>
  </si>
  <si>
    <t>Retirada e reinstalação de ar condicionado - Incluso reinstalação de bombas de drenagem e gás R4104</t>
  </si>
  <si>
    <t>Retirada e reinstalação de ar condicionado - Incluso reinstalação de bombas de drenagem e gás R410A</t>
  </si>
  <si>
    <t>7.9</t>
  </si>
  <si>
    <t xml:space="preserve"> CPO-21 </t>
  </si>
  <si>
    <t xml:space="preserve"> 00000077 </t>
  </si>
  <si>
    <t>Cabo PP blindado 4x1,5mm² - Cotação realizada para obra de Araranguá</t>
  </si>
  <si>
    <t xml:space="preserve"> 00021127 </t>
  </si>
  <si>
    <t>FITA ISOLANTE ADESIVA ANTICHAMA, USO ATE 750 V, EM ROLO DE 19 MM X 5 M</t>
  </si>
  <si>
    <t xml:space="preserve"> 97327 </t>
  </si>
  <si>
    <t>TUBO EM COBRE FLEXÍVEL, DN 1/4, COM ISOLAMENTO, INSTALADO EM RAMAL DE ALIMENTAÇÃO DE AR CONDICIONADO COM CONDENSADORA INDIVIDUAL   FORNECIMENTO E INSTALAÇÃO. AF_12/2015</t>
  </si>
  <si>
    <t xml:space="preserve"> 97329 </t>
  </si>
  <si>
    <t>TUBO EM COBRE FLEXÍVEL, DN 1/2", COM ISOLAMENTO, INSTALADO EM RAMAL DE ALIMENTAÇÃO DE AR CONDICIONADO COM CONDENSADORA INDIVIDUAL  FORNECIMENTO E INSTALAÇÃO. AF_12/2015</t>
  </si>
  <si>
    <t xml:space="preserve"> 97328 </t>
  </si>
  <si>
    <t>TUBO EM COBRE FLEXÍVEL, DN 3/8", COM ISOLAMENTO, INSTALADO EM RAMAL DE ALIMENTAÇÃO DE AR CONDICIONADO COM CONDENSADORA INDIVIDUAL  FORNECIMENTO E INSTALAÇÃO. AF_12/2015</t>
  </si>
  <si>
    <t xml:space="preserve"> 97330 </t>
  </si>
  <si>
    <t>TUBO EM COBRE FLEXÍVEL, DN 5/8", COM ISOLAMENTO, INSTALADO EM RAMAL DE ALIMENTAÇÃO DE AR CONDICIONADO COM CONDENSADORA INDIVIDUAL  FORNECIMENTO E INSTALAÇÃO. AF_12/2015</t>
  </si>
  <si>
    <t>7.10</t>
  </si>
  <si>
    <t>7.11</t>
  </si>
  <si>
    <t>7.12</t>
  </si>
  <si>
    <t>7.13</t>
  </si>
  <si>
    <t>Cabo PP blindado 4x1,5mm²</t>
  </si>
  <si>
    <t>Magazine Luiza</t>
  </si>
  <si>
    <t>47.960.950/0001-21</t>
  </si>
  <si>
    <t>https://www.cassol.com.br/exaustor-ventokit-m280-branco-westaflex-/p?idsku=1924343&amp;utm_source=google_MP&amp;utm_medium=cpc&amp;utm_campaign=ecomm_banheiro&amp;gclid=Cj0KCQjwsIejBhDOARIsANYqkD3qpa_sVrq-lu9upN3a7RbkSwvvueK-pvt-Mh4-6ahzJ_TeQ0mj_YAaAruZEALw_wcB</t>
  </si>
  <si>
    <t>https://www.magazineluiza.com.br/ventokit-new-classic-completo-c150-bivolt/p/kffe3ajh05/cp/rnva/?&amp;seller_id=frioshopping&amp;utm_source=google&amp;utm_medium=pla&amp;utm_campaign=&amp;partner_id=71790&amp;gclid=Cj0KCQjwsIejBhDOARIsANYqkD2-Gik8oIgzniMgZoUZHHTPA7QNng1-B1cnEZflAwicZyqnGJWPUIkaAhdjEALw_wcB&amp;gclsrc=aw.ds</t>
  </si>
  <si>
    <t>https://www.leroymerlin.com.br/ventokit-new-classic-150-bivolt-westaflex_91787143?store_code=39&amp;gclid=Cj0KCQjwsIejBhDOARIsANYqkD3V_mFis6bQhL2fVwUqt9RzSGfIiCHTvK5vWR_z05VfFxCwlc0VbdcaAn2YEALw_wcB</t>
  </si>
  <si>
    <t xml:space="preserve"> CPO-22 </t>
  </si>
  <si>
    <t>Exaustor bivolt ventokit</t>
  </si>
  <si>
    <t>8.13</t>
  </si>
  <si>
    <t>COMPOSIÇÕES UNITÁRIAS - ADMINISTRAÇÃO DA OBRA</t>
  </si>
  <si>
    <t>*ISS</t>
  </si>
  <si>
    <t>*ISS BALNEÁRIO CAMBORIÚ = 2,5%</t>
  </si>
  <si>
    <t>COTAÇÕES INSUMOS</t>
  </si>
  <si>
    <t>1.4</t>
  </si>
  <si>
    <t>10.1</t>
  </si>
  <si>
    <t>LOCACAO DE ANDAIME METALICO TUBULAR DE ENCAIXE, TIPO DE TORRE, CADA PAINEL COM LARGURA DE 1 ATE 1,5 M E ALTURA DE *1,00* M, INCLUINDO DIAGONAL, BARRAS DE LIGACAO, SAPATAS OU RODIZIOS E DEMAIS ITENS NECESSARIOS A MONTAGEM (NAO INCLUI INSTALACAO)</t>
  </si>
  <si>
    <t>MXMES</t>
  </si>
  <si>
    <t>2.7</t>
  </si>
  <si>
    <t xml:space="preserve"> 97064 </t>
  </si>
  <si>
    <t>MONTAGEM E DESMONTAGEM DE ANDAIME TUBULAR TIPO TORRE (EXCLUSIVE ANDAIME E LIMPEZA). AF_11/2017</t>
  </si>
  <si>
    <t>2.8</t>
  </si>
  <si>
    <t xml:space="preserve"> 102219 </t>
  </si>
  <si>
    <t>PINTURA TINTA DE ACABAMENTO (PIGMENTADA) ESMALTE SINTÉTICO ACETINADO EM MADEIRA, 2 DEMÃOS. AF_01/2021</t>
  </si>
  <si>
    <t>9.1</t>
  </si>
  <si>
    <t xml:space="preserve"> 97599 </t>
  </si>
  <si>
    <t>LUMINÁRIA DE EMERGÊNCIA, COM 30 LÂMPADAS LED DE 2 W, SEM REATOR - FORNECIMENTO E INSTALAÇÃO. AF_02/2020</t>
  </si>
  <si>
    <t>9.2</t>
  </si>
  <si>
    <t xml:space="preserve"> 101912 </t>
  </si>
  <si>
    <t>ABRIGO PARA HIDRANTE, 75X45X17CM, COM REGISTRO GLOBO ANGULAR 45 GRAUS 2 1/2", ADAPTADOR STORZ 2 1/2", MANGUEIRA DE INCÊNDIO 15M 2 1/2" E ESGUICHO EM LATÃO 2 1/2" - FORNECIMENTO E INSTALAÇÃO. AF_10/2020</t>
  </si>
  <si>
    <t>9.3</t>
  </si>
  <si>
    <t xml:space="preserve"> 97622 </t>
  </si>
  <si>
    <t>DEMOLIÇÃO DE ALVENARIA DE BLOCO FURADO, DE FORMA MANUAL, SEM REAPROVEITAMENTO. AF_12/2017</t>
  </si>
  <si>
    <t>9.4</t>
  </si>
  <si>
    <t>9.5</t>
  </si>
  <si>
    <t>9.6</t>
  </si>
  <si>
    <t xml:space="preserve"> 101908 </t>
  </si>
  <si>
    <t>EXTINTOR DE INCÊNDIO PORTÁTIL COM CARGA DE PQS DE 4 KG, CLASSE BC - FORNECIMENTO E INSTALAÇÃO. AF_10/2020_PE</t>
  </si>
  <si>
    <t>9.7</t>
  </si>
  <si>
    <t xml:space="preserve"> 00037560 </t>
  </si>
  <si>
    <t>PLACA DE SINALIZACAO DE SEGURANCA CONTRA INCENDIO - ALERTA, TRIANGULAR, BASE DE *30* CM, EM PVC *2* MM ANTI-CHAMAS (SIMBOLOS, CORES E PICTOGRAMAS CONFORME NBR 16820)</t>
  </si>
  <si>
    <t>9.8</t>
  </si>
  <si>
    <t xml:space="preserve"> 00037556 </t>
  </si>
  <si>
    <t>PLACA DE SINALIZACAO DE SEGURANCA CONTRA INCENDIO, FOTOLUMINESCENTE, QUADRADA, *20 X 20* CM, EM PVC *2* MM ANTI-CHAMAS (SIMBOLOS, CORES E PICTOGRAMAS CONFORME NBR 16820)</t>
  </si>
  <si>
    <t xml:space="preserve"> 93654 </t>
  </si>
  <si>
    <t>DISJUNTOR MONOPOLAR TIPO DIN, CORRENTE NOMINAL DE 16A - FORNECIMENTO E INSTALAÇÃO. AF_10/2020</t>
  </si>
  <si>
    <t xml:space="preserve"> 93655 </t>
  </si>
  <si>
    <t>DISJUNTOR MONOPOLAR TIPO DIN, CORRENTE NOMINAL DE 20A - FORNECIMENTO E INSTALAÇÃO. AF_10/2020</t>
  </si>
  <si>
    <t>8.14</t>
  </si>
  <si>
    <t>8.15</t>
  </si>
  <si>
    <t>8.16</t>
  </si>
  <si>
    <t>ABB Eletrificação</t>
  </si>
  <si>
    <t>33.449.988/0001-20</t>
  </si>
  <si>
    <t>APS Distribuidora</t>
  </si>
  <si>
    <t>01.910.513/0003-64</t>
  </si>
  <si>
    <t>https://loja.br.abb.com/chave-comutadora-ot63f3c-3-polos-sem-base-fusivel-acionamento-manual-63a-abb.html?gclid=CjwKCAjwscGjBhAXEiwAswQqNLRSAdqzv3ocI9kxOVbb86GrTaFJCyQPQffRhuxcCxFB2d2IKT84XBoC8ooQAvD_BwE</t>
  </si>
  <si>
    <t>https://www.lojaaps.com.br/MLB-2698363538-chave-comutadora-ot63f3c-3-polos-abb-_JM?gclid=CjwKCAjwscGjBhAXEiwAswQqNIXgnqJ3nAPh7TVMhy_AmABB8jexri-yTu2uUJbpexpvvhS8yKem-hoCYSsQAvD_BwE</t>
  </si>
  <si>
    <t>https://www.viewtech.ind.br/interruptor-dr-diferencial-residual-weg-bipolar-25a-30ma?gclid=CjwKCAjwscGjBhAXEiwAswQqNBJjfQgrSvtzdE9om5D9hBgmtSTysLTeq4oIdxkoo48WulSr7gfNEBoC_cMQAvD_BwE</t>
  </si>
  <si>
    <t>Viewtech</t>
  </si>
  <si>
    <t>07.327.325/0001-22</t>
  </si>
  <si>
    <t>Eletrorastro</t>
  </si>
  <si>
    <t>85.014.793/0001-50</t>
  </si>
  <si>
    <t>Ferramentas Keneddy</t>
  </si>
  <si>
    <t>https://www.eletrorastro.com.br/produto/interruptor-diferencial-residual-2p-25a-30ma-3ka-ez9r33225-79340?utm_source=google&amp;utm_medium=cpc&amp;utm_campaign=&amp;gclid=CjwKCAjwscGjBhAXEiwAswQqNDP80LkfjpPLU7TxPyd2n7MyxNBdk4KiFszhPA3UELCZJxwc1FVmzBoCRV8QAvD_BwE</t>
  </si>
  <si>
    <t>https://www.ferramentaskennedy.com.br/100048007/interruptor-dr-25a-steck-2-polos-30ma?gclid=CjwKCAjwscGjBhAXEiwAswQqNJHtBBirg38vKt9gZFIJrmIMkk59FpVmyzOdMMiFY0DWJ8PCfDxBFBoCekcQAvD_BwE</t>
  </si>
  <si>
    <t>08.858.579/0015-35</t>
  </si>
  <si>
    <t>Fonte Materiais Elétricos</t>
  </si>
  <si>
    <t>10.286.548/0001-01</t>
  </si>
  <si>
    <t>Contato:</t>
  </si>
  <si>
    <t>(47) 3232-7650</t>
  </si>
  <si>
    <t>Sinalização de saída LED</t>
  </si>
  <si>
    <t>Megathor</t>
  </si>
  <si>
    <t>40.863.901/0001-21</t>
  </si>
  <si>
    <t>https://www.megathor.com.br/acionador-alarme-de-incendio-convencional?parceiro=2543&amp;srsltid=AR57-fA5YWQ7mv_okaXwjyfxpSoZZVJLQMQtTAOlbsKK4iPiOamdVX6JmIE</t>
  </si>
  <si>
    <t>Quality tubos</t>
  </si>
  <si>
    <t>29.851.289/0001-34</t>
  </si>
  <si>
    <t>https://www.lojaqualitytubos.com.br/acionador-manual-convencional-com-sirene-bivolt-12-24v-p1000742?utm_source=google&amp;utm_medium=upc&amp;utm_campaign=qualitytubos&amp;gclid=Cj0KCQjwmtGjBhDhARIsAEqfDEeRHCdgJPB22k4cR46g2Vk83StvgPasM5VgPBLXxCXhOfs6muFZ58UaArkPEALw_wcB</t>
  </si>
  <si>
    <t>https://www.multiseg.com.br/739/caixa-quebre-o-vidro-para-chave-de-emergncia-convencional-ip20-crius?srsltid=AR57-fDoiSVoDkDnEmg4DhKn6kquxJY1ZGPZWqnoDVnaFk0MMy1J5xo0ENk</t>
  </si>
  <si>
    <t>Multiseg</t>
  </si>
  <si>
    <t>10.498.304/0001-84</t>
  </si>
  <si>
    <t>Afubra</t>
  </si>
  <si>
    <t>74.072.513/0044-84</t>
  </si>
  <si>
    <t>https://www.lojasafubra.com.br/placa-de-sinalizacao-intelbras-psa125-face-unica-4632001/p?idsku=13924&amp;gclid=Cj0KCQjwmtGjBhDhARIsAEqfDEc5e2ztfbU-19upkqOS83TOY8ojV5sXOiVaUAj17fh_q3KZVghNmhkaAlWXEALw_wcB</t>
  </si>
  <si>
    <t>Intelbras</t>
  </si>
  <si>
    <t>82.901.000/0001-27</t>
  </si>
  <si>
    <t>https://loja.intelbras.com.br/placa-de-sinalizacao-psa225/p?idsku=4632002&amp;utm_source=&amp;utm_medium=&amp;utm_campaign=&amp;utm_term=&amp;gclid=Cj0KCQjwmtGjBhDhARIsAEqfDEf3dNQBornjvwEwFNBy2fXViMIg-573YOqQUaLreTl83Um_O3NpTSIaAr0MEALw_wcB</t>
  </si>
  <si>
    <t>https://www.megathor.com.br/eletroduto-vermelho-1/2-x-3m/</t>
  </si>
  <si>
    <t>https://www.eletrosul.com.br/materiais-eletricos/eletrodutos-rigidos/eletroduto-vermelho-12-3-metros</t>
  </si>
  <si>
    <t>https://www.multiseg.com.br/737/caixa-5-entradas-1-2-3-4-em-pvc-vermelho-sem-rosca?gclid=Cj0KCQjwmtGjBhDhARIsAEqfDEfNv5VNYS3F-aTbPwqArKulNfkLQ7sOmnbehZLqf80XvAh37kjWcZ8aAvC2EALw_wcB</t>
  </si>
  <si>
    <t>https://www.eletrorastro.com.br/produto/condulete-pvc-vermelho-1-2-3-4-05-entradas-inpol-92611?utm_source=google&amp;utm_medium=cpc&amp;utm_campaign=&amp;gclid=Cj0KCQjwmtGjBhDhARIsAEqfDEc-VRg4Spd4LOoXCv0LEGHT5IlfpOyPJUsVyv8ZPNDTxcHXhlPVsTQaAt1pEALw_wcB</t>
  </si>
  <si>
    <t>Cabo sinal blindado 2 x 0,75 mm</t>
  </si>
  <si>
    <t xml:space="preserve"> 101878 </t>
  </si>
  <si>
    <t>QUADRO DE DISTRIBUIÇÃO DE ENERGIA EM CHAPA DE AÇO GALVANIZADO, DE SOBREPOR, COM BARRAMENTO TRIFÁSICO, PARA 18 DISJUNTORES DIN 100A - FORNECIMENTO E INSTALAÇÃO. AF_10/2020</t>
  </si>
  <si>
    <t xml:space="preserve"> 101882 </t>
  </si>
  <si>
    <t>QUADRO DE DISTRIBUIÇÃO DE ENERGIA EM CHAPA DE AÇO GALVANIZADO, DE EMBUTIR, COM BARRAMENTO TRIFÁSICO, PARA 30 DISJUNTORES DIN 225A - FORNECIMENTO E INSTALAÇÃO. AF_10/2020</t>
  </si>
  <si>
    <t xml:space="preserve"> 93658 </t>
  </si>
  <si>
    <t>DISJUNTOR MONOPOLAR TIPO DIN, CORRENTE NOMINAL DE 40A - FORNECIMENTO E INSTALAÇÃO. AF_10/2020</t>
  </si>
  <si>
    <t>7.14</t>
  </si>
  <si>
    <t>9.9</t>
  </si>
  <si>
    <t>8.1</t>
  </si>
  <si>
    <t>8.2</t>
  </si>
  <si>
    <t>8.3</t>
  </si>
  <si>
    <t>3.5</t>
  </si>
  <si>
    <t>CLIMATIZAÇÃO</t>
  </si>
  <si>
    <t>8.17</t>
  </si>
  <si>
    <t>8.18</t>
  </si>
  <si>
    <t>8.19</t>
  </si>
  <si>
    <t xml:space="preserve"> CPO-30 </t>
  </si>
  <si>
    <t>Chave comutadora 40A, 3 polos e 3 posições - Baseada em ORSE 13101</t>
  </si>
  <si>
    <t xml:space="preserve"> 00000083 </t>
  </si>
  <si>
    <t>Chave comutadora 40A, 3 polos e 3 posições</t>
  </si>
  <si>
    <t xml:space="preserve"> CPO-31 </t>
  </si>
  <si>
    <t>Dispositivo de proteção contra surtos monopolar - Baseado em FDE 09.02.043</t>
  </si>
  <si>
    <t xml:space="preserve"> CPO-33 </t>
  </si>
  <si>
    <t>Interruptor DR Diferencial Residual bipolar 25A 30mA - Baseado em IOPES 151350</t>
  </si>
  <si>
    <t xml:space="preserve"> 00039469 </t>
  </si>
  <si>
    <t>DISPOSITIVO DPS CLASSE II, 1 POLO, TENSAO MAXIMA DE 275 V, CORRENTE MAXIMA DE *20* KA (TIPO AC)</t>
  </si>
  <si>
    <t xml:space="preserve"> 00000086 </t>
  </si>
  <si>
    <t>Interruptor DR Diferencial Residual bipolar 25A 30mA</t>
  </si>
  <si>
    <t xml:space="preserve"> CPO-36 </t>
  </si>
  <si>
    <t>Infraestrutura das instalações de alarme e detecção de incêndio</t>
  </si>
  <si>
    <t xml:space="preserve"> 00000093 </t>
  </si>
  <si>
    <t>Eletroduto PVC vermelho antichamas - DN 1/2"</t>
  </si>
  <si>
    <t xml:space="preserve"> 00000095 </t>
  </si>
  <si>
    <t xml:space="preserve"> 00000094 </t>
  </si>
  <si>
    <t>Caixa condulete 5 entradas PVC vermelho 1/2" 3/4"</t>
  </si>
  <si>
    <t>9.10</t>
  </si>
  <si>
    <t xml:space="preserve"> CPO-37 </t>
  </si>
  <si>
    <t>Caixa de emergência porta chaves IP 20</t>
  </si>
  <si>
    <t>SEES - SERVIÇOS ESPECIAIS</t>
  </si>
  <si>
    <t xml:space="preserve"> 00000091 </t>
  </si>
  <si>
    <t>Caixa de emergência porta chave - IP20</t>
  </si>
  <si>
    <t>9.11</t>
  </si>
  <si>
    <t xml:space="preserve"> CPO-38 </t>
  </si>
  <si>
    <t>Acionador manual de alarme de incêncio - Baseado em SETOP INC-ACI-005</t>
  </si>
  <si>
    <t xml:space="preserve"> 00000089 </t>
  </si>
  <si>
    <t>Acionador manual de incêndio com sirene</t>
  </si>
  <si>
    <t>9.12</t>
  </si>
  <si>
    <t>9.13</t>
  </si>
  <si>
    <t>9.14</t>
  </si>
  <si>
    <t xml:space="preserve"> CPO-39 </t>
  </si>
  <si>
    <t>Sinalização de saída - Sistema autônomo em LED - autonomia 1h - Baseado em EMOP 05.054.0100-A</t>
  </si>
  <si>
    <t xml:space="preserve"> 00000092 </t>
  </si>
  <si>
    <t xml:space="preserve"> CPO-40 </t>
  </si>
  <si>
    <t>Detector de fumaça optico convencional - Baseado em FDE 09.08.090</t>
  </si>
  <si>
    <t xml:space="preserve"> 00000090 </t>
  </si>
  <si>
    <t>Detector óptico de fumaça à contato seco - 12/24V</t>
  </si>
  <si>
    <t>8.20</t>
  </si>
  <si>
    <t>8.21</t>
  </si>
  <si>
    <t>8.22</t>
  </si>
  <si>
    <t>8.23</t>
  </si>
  <si>
    <t xml:space="preserve"> 92982 </t>
  </si>
  <si>
    <t>CABO DE COBRE FLEXÍVEL ISOLADO, 16 MM², ANTI-CHAMA 0,6/1,0 KV, PARA DISTRIBUIÇÃO - FORNECIMENTO E INSTALAÇÃO. AF_12/2015</t>
  </si>
  <si>
    <t xml:space="preserve"> 91930 </t>
  </si>
  <si>
    <t>CABO DE COBRE FLEXÍVEL ISOLADO, 6 MM², ANTI-CHAMA 450/750 V, PARA CIRCUITOS TERMINAIS - FORNECIMENTO E INSTALAÇÃO. AF_03/2023</t>
  </si>
  <si>
    <t xml:space="preserve"> 91862 </t>
  </si>
  <si>
    <t>ELETRODUTO RÍGIDO ROSCÁVEL, PVC, DN 20 MM (1/2"), PARA CIRCUITOS TERMINAIS, INSTALADO EM FORRO - FORNECIMENTO E INSTALAÇÃO. AF_03/2023</t>
  </si>
  <si>
    <t xml:space="preserve"> 91864 </t>
  </si>
  <si>
    <t>ELETRODUTO RÍGIDO ROSCÁVEL, PVC, DN 32 MM (1"), PARA CIRCUITOS TERMINAIS, INSTALADO EM FORRO - FORNECIMENTO E INSTALAÇÃO. AF_03/2023</t>
  </si>
  <si>
    <t>8.24</t>
  </si>
  <si>
    <t>ORÇAMENTO VIDEIRA</t>
  </si>
  <si>
    <t>Totem coluna com 6 tomadas - Dutotec ou similar</t>
  </si>
  <si>
    <t>INSTALAÇÕES PREVENTIVAS CONTRA INCÊNDIO</t>
  </si>
  <si>
    <t>Elaboração do plano de gerenciamento de resíduos sólidos - PGRSCC</t>
  </si>
  <si>
    <t>Caixa de emergência porta-chaves IP 20</t>
  </si>
  <si>
    <t>DESPESAS FINAIS</t>
  </si>
  <si>
    <t>Limpeza final da obra</t>
  </si>
  <si>
    <t>11.1</t>
  </si>
  <si>
    <t>LIMPEZA FINAL DA OBRA</t>
  </si>
  <si>
    <t>ACIDO MURIATICO, DILUICAO 10% A 12% PARA USO EM LIMPEZA</t>
  </si>
  <si>
    <t>l</t>
  </si>
  <si>
    <t>CPO-005</t>
  </si>
  <si>
    <t>LOCACAO DE ANDAIME METALICO TUBULAR DE ENCAIXE, TIPO DE TORRE LARGURA DE 1-1,5M X 1,0 DE ALTURA</t>
  </si>
  <si>
    <t xml:space="preserve">TABUA *2,5 X 30 CM EM PINUS, MISTA OU EQUIVALENTE DA REGIAO - BRUTA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</si>
  <si>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</t>
  </si>
  <si>
    <t>CPO-41</t>
  </si>
  <si>
    <t>MXMÊS</t>
  </si>
  <si>
    <t>CPO-42</t>
  </si>
  <si>
    <t>Obra de troca de esquadrias 2023</t>
  </si>
  <si>
    <t>Obra de Araranguá 2023</t>
  </si>
  <si>
    <t>7.14 - Exaustor tipo ventokit</t>
  </si>
  <si>
    <t>4.3 - Rodapé Santa Luzia 1,3x7x240 cm</t>
  </si>
  <si>
    <t>5.2 - Forro modular de gesso 625 x 1250 mm</t>
  </si>
  <si>
    <t>8.3 - Luminária de embutir aletada 62x62x10cm</t>
  </si>
  <si>
    <t>8.10 - Coluna totem</t>
  </si>
  <si>
    <t>8.11 -Eletrocalha 200x50mm</t>
  </si>
  <si>
    <t>8.17 - Chave comutadora</t>
  </si>
  <si>
    <t>8.19 - Interruptor DR Diferencial Residual Bipolar 25A 30mA</t>
  </si>
  <si>
    <t>9.10 - Eletroduto PVC vermelho 1/2"</t>
  </si>
  <si>
    <t>9.10 - Caixa condulete PVC vermelho 1/2" 3/4"</t>
  </si>
  <si>
    <t>9.10 - Cabo sinal blindado 2 x 0,75 mm</t>
  </si>
  <si>
    <t>9.11 - Caixa de emergência porta chave IP20</t>
  </si>
  <si>
    <t>9.12 - Acionador manual com sirene</t>
  </si>
  <si>
    <t>9.13 -Sinalização de saída LED</t>
  </si>
  <si>
    <t>9.14 - Detector de fumaça</t>
  </si>
  <si>
    <t>DEMOLIÇÃO DE ARGAMASSAS DE FORMA MANUAL, SEM REAPROVEITAMENTO (REBOCO)</t>
  </si>
  <si>
    <t>Emboço com argamassa impermeabilizante - Baseado em SINAPI 87831</t>
  </si>
  <si>
    <t>Rodapé em poliestireno - Santa Luzia, altura 7 cm - Baseado em SINAPI 98688</t>
  </si>
  <si>
    <t>Exaustor para banheiro ventokit - Fornecimento e instalação - Baseado em ORSE 11148</t>
  </si>
  <si>
    <t>Instalação de ponto da rede lógica - Baseado em EMOP 15.015.0203-A</t>
  </si>
  <si>
    <t>LUMINÁRIA LED EMBUTIR POTÊNCIA 36W, FLUXO LUMINOSO ACIMA DE 4000lm, Eficiência 116hW, dimensões 617x617x106mm. Aletas e refletores em AL. Para 4 lâmpadas Led T5. Difusor policarbonato  texturizado - Baseada em SINAPI 97586</t>
  </si>
  <si>
    <t>LUMINÁRIA LED EMBUTIR POTÊNCIA 36W, FLUXO LUMINOSO ACIMA DE 4000lm, Eficiência 116hW, dimensões 617x617x106mm. Aletas e refletores em AL. Para 4 lâmpadas Led T5. Difusor policarbonato  texturizado  - FORNECIMENTO E INSTALAÇÃO -  Baseada em SINAPI 97586</t>
  </si>
  <si>
    <t>Certificação de cabeamento estruturado CAT. 5E - Reajustado pelo INCC</t>
  </si>
  <si>
    <t>Maçaneta tipo alavanca lisa e fechadura tipo roseta redonda cromadas - Baseada em IOPES 062202</t>
  </si>
  <si>
    <t>CARPINTEIRO DE ESQUADRIA COM ENCARGOS COMPLEMENTARES</t>
  </si>
  <si>
    <t>)</t>
  </si>
  <si>
    <t xml:space="preserve"> CPO-43</t>
  </si>
  <si>
    <t>ENGENHEIRO CIVIL JUNIOR COM ENCARGOS COMPLEMENTARES</t>
  </si>
  <si>
    <t>CPO-43</t>
  </si>
  <si>
    <t>4º MÊS</t>
  </si>
  <si>
    <t>Quantidade de luminárias</t>
  </si>
  <si>
    <t>Quantidade de perfilado</t>
  </si>
  <si>
    <t>Quantidade de perfilado em projeto (m)</t>
  </si>
  <si>
    <t>Área que comporta luminárias (m²)</t>
  </si>
  <si>
    <t>Densidade (m/m²)</t>
  </si>
  <si>
    <t>Quantidade de perfilado na parte sem luminária (m)</t>
  </si>
  <si>
    <t>Total de perfilado (m)</t>
  </si>
  <si>
    <t>8.25</t>
  </si>
  <si>
    <t>75.400.218/0001-32</t>
  </si>
  <si>
    <t>8.26</t>
  </si>
  <si>
    <t xml:space="preserve"> CPO-44 </t>
  </si>
  <si>
    <t>Perfilado perfurado de aço zincado 38x38 mm - Baseado em SETOP ELE-PER-010 e ED-19583</t>
  </si>
  <si>
    <t xml:space="preserve"> 00011267 </t>
  </si>
  <si>
    <t>ARRUELA LISA, REDONDA, DE LATAO POLIDO, DIAMETRO NOMINAL 5/8", DIAMETRO EXTERNO = 34 MM, DIAMETRO DO FURO = 17 MM, ESPESSURA = *2,5* MM</t>
  </si>
  <si>
    <t xml:space="preserve"> 00007584 </t>
  </si>
  <si>
    <t>BUCHA DE NYLON SEM ABA S12, COM PARAFUSO DE 5/16" X 80 MM EM ACO ZINCADO COM ROSCA SOBERBA E CABECA SEXTAVADA</t>
  </si>
  <si>
    <t xml:space="preserve"> 00039996 </t>
  </si>
  <si>
    <t>VERGALHAO ZINCADO ROSCA TOTAL, 1/4 " (6,3 MM)</t>
  </si>
  <si>
    <t xml:space="preserve"> 00039997 </t>
  </si>
  <si>
    <t>PORCA ZINCADA, SEXTAVADA, DIAMETRO 1/4"</t>
  </si>
  <si>
    <t xml:space="preserve"> 00039028 </t>
  </si>
  <si>
    <t>PERFILADO PERFURADO SIMPLES 38 X 38 MM, CHAPA 22</t>
  </si>
  <si>
    <t xml:space="preserve"> 00011962 </t>
  </si>
  <si>
    <t>PARAFUSO ZINCADO, SEXTAVADO, COM ROSCA INTEIRA, DIAMETRO 1/4", COMPRIMENTO 1/2"</t>
  </si>
  <si>
    <t xml:space="preserve">CPO-45 </t>
  </si>
  <si>
    <t>Retirada de quadro elétrico</t>
  </si>
  <si>
    <t xml:space="preserve"> CPO-45 </t>
  </si>
  <si>
    <t>Retirada e recolocação de eletrodutos em divisórias - Baseada em ORSE 0201002116 e SINAPI 91852</t>
  </si>
  <si>
    <t xml:space="preserve">Retirada de hidrante situado na área das salas de audiência </t>
  </si>
  <si>
    <t>Retirada de hidrante</t>
  </si>
  <si>
    <t>4ª Avenida, nº 740 (1º andar)</t>
  </si>
  <si>
    <t>_______________________________________________________________
Coordenadoria de Projetos e Obras</t>
  </si>
  <si>
    <t>4ª Avenida , 740</t>
  </si>
  <si>
    <t>R08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</si>
</sst>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44" formatCode="_-&quot;R$&quot;* #,##0.00_-;\-&quot;R$&quot;* #,##0.00_-;_-&quot;R$&quot;* &quot;-&quot;??_-;_-@_-"/>
    <numFmt numFmtId="43" formatCode="_-* #,##0.00_-;\-* #,##0.00_-;_-* &quot;-&quot;??_-;_-@_-"/>
    <numFmt numFmtId="164" formatCode="_-&quot;R$&quot;\ * #,##0.00_-;\-&quot;R$&quot;\ * #,##0.00_-;_-&quot;R$&quot;\ * &quot;-&quot;??_-;_-@_-"/>
    <numFmt numFmtId="165" formatCode="#,##0.00\ %"/>
    <numFmt numFmtId="166" formatCode="#,##0.0000000"/>
    <numFmt numFmtId="167" formatCode="_(* #,##0.00_);_(* \(#,##0.00\);_(* &quot;-&quot;??_);_(@_)"/>
    <numFmt numFmtId="168" formatCode="_-* #,##0.00_-;\-* #,##0.00_-;_-* \-??_-;_-@_-"/>
    <numFmt numFmtId="169" formatCode="#,##0.00\ ;[Red]#,##0.00;&quot;&quot;"/>
    <numFmt numFmtId="170" formatCode="#,##0.00\ ;&quot; (&quot;#,##0.00\);\-00\ ;@\ "/>
    <numFmt numFmtId="171" formatCode="_(&quot;Cr$&quot;* #,##0.00_);_(&quot;Cr$&quot;* \(#,##0.00\);_(&quot;Cr$&quot;* &quot;-&quot;??_);_(@_)"/>
    <numFmt numFmtId="172" formatCode="&quot;R$&quot;\ #,##0.00"/>
    <numFmt numFmtId="173" formatCode="0.0%"/>
    <numFmt numFmtId="174" formatCode="[$-416]d\-mmm\-yy;@"/>
    <numFmt numFmtId="175" formatCode="0.000"/>
    <numFmt numFmtId="176" formatCode="&quot;R$&quot;#,##0.00"/>
  </numFmts>
  <fonts count="76">
    <font>
      <sz val="11"/>
      <name val="Arial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1"/>
    </font>
    <font>
      <b/>
      <sz val="10"/>
      <color rgb="FF000000"/>
      <name val="Arial"/>
      <family val="1"/>
    </font>
    <font>
      <b/>
      <sz val="10"/>
      <name val="Arial"/>
      <family val="1"/>
    </font>
    <font>
      <sz val="10"/>
      <color rgb="FF000000"/>
      <name val="Arial"/>
      <family val="1"/>
    </font>
    <font>
      <sz val="10"/>
      <name val="Arial"/>
      <family val="1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</font>
    <font>
      <b/>
      <i/>
      <sz val="10"/>
      <color rgb="FF000000"/>
      <name val="Arial"/>
      <family val="2"/>
      <charset val="1"/>
    </font>
    <font>
      <b/>
      <sz val="8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9"/>
      <color rgb="FF000000"/>
      <name val="Calibri"/>
      <family val="2"/>
    </font>
    <font>
      <sz val="11"/>
      <name val="Calibri"/>
      <family val="2"/>
      <charset val="1"/>
    </font>
    <font>
      <b/>
      <sz val="11"/>
      <name val="Calibri"/>
      <family val="2"/>
      <charset val="1"/>
    </font>
    <font>
      <b/>
      <sz val="12"/>
      <color rgb="FF000000"/>
      <name val="Arial"/>
      <family val="2"/>
      <charset val="1"/>
    </font>
    <font>
      <sz val="10"/>
      <color rgb="FF000000"/>
      <name val="Arial"/>
      <family val="2"/>
      <charset val="1"/>
    </font>
    <font>
      <sz val="10"/>
      <color rgb="FFFFFFFF"/>
      <name val="Arial"/>
      <family val="2"/>
      <charset val="1"/>
    </font>
    <font>
      <b/>
      <sz val="10"/>
      <color rgb="FFFFFFFF"/>
      <name val="Arial"/>
      <family val="2"/>
      <charset val="1"/>
    </font>
    <font>
      <b/>
      <sz val="11"/>
      <color rgb="FF000000"/>
      <name val="Arial"/>
      <family val="2"/>
      <charset val="1"/>
    </font>
    <font>
      <sz val="8"/>
      <color rgb="FF000000"/>
      <name val="Arial"/>
      <family val="2"/>
      <charset val="1"/>
    </font>
    <font>
      <sz val="10"/>
      <color rgb="FF000000"/>
      <name val="Arial"/>
      <family val="2"/>
    </font>
    <font>
      <b/>
      <sz val="12"/>
      <name val="Arial"/>
      <family val="2"/>
      <charset val="1"/>
    </font>
    <font>
      <sz val="12"/>
      <color rgb="FF000000"/>
      <name val="Arial"/>
      <family val="2"/>
      <charset val="1"/>
    </font>
    <font>
      <sz val="11"/>
      <color rgb="FF000000"/>
      <name val="Arial"/>
      <family val="2"/>
      <charset val="1"/>
    </font>
    <font>
      <sz val="10"/>
      <color rgb="FFC00000"/>
      <name val="Arial"/>
      <family val="2"/>
      <charset val="1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63"/>
      <name val="Calibri"/>
      <family val="2"/>
      <charset val="1"/>
    </font>
    <font>
      <sz val="10"/>
      <name val="Arial"/>
      <family val="2"/>
      <charset val="1"/>
    </font>
    <font>
      <sz val="11"/>
      <name val="Arial"/>
      <family val="1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b/>
      <sz val="8"/>
      <color rgb="FF000000"/>
      <name val="Arial"/>
      <family val="2"/>
      <charset val="1"/>
    </font>
    <font>
      <b/>
      <sz val="8"/>
      <color rgb="FFC00000"/>
      <name val="Arial"/>
      <family val="2"/>
      <charset val="1"/>
    </font>
    <font>
      <b/>
      <sz val="9"/>
      <color rgb="FF000000"/>
      <name val="Arial"/>
      <family val="2"/>
      <charset val="1"/>
    </font>
    <font>
      <sz val="9"/>
      <color rgb="FF404040"/>
      <name val="Arial"/>
      <family val="2"/>
      <charset val="1"/>
    </font>
    <font>
      <sz val="8"/>
      <color theme="1"/>
      <name val="Arial"/>
      <family val="2"/>
      <charset val="1"/>
    </font>
    <font>
      <sz val="8"/>
      <color rgb="FFC00000"/>
      <name val="Arial"/>
      <family val="2"/>
      <charset val="1"/>
    </font>
    <font>
      <sz val="8"/>
      <color theme="1"/>
      <name val="Arial"/>
      <family val="2"/>
    </font>
    <font>
      <sz val="8"/>
      <name val="Arial"/>
      <family val="2"/>
    </font>
    <font>
      <b/>
      <sz val="18"/>
      <color theme="3"/>
      <name val="Cambria"/>
      <family val="2"/>
      <scheme val="major"/>
    </font>
    <font>
      <sz val="11"/>
      <color theme="1"/>
      <name val="Calibri"/>
      <family val="2"/>
      <charset val="134"/>
      <scheme val="minor"/>
    </font>
    <font>
      <sz val="11"/>
      <color theme="1"/>
      <name val="Arial"/>
      <family val="2"/>
    </font>
    <font>
      <b/>
      <sz val="14"/>
      <color theme="1" tint="0.249977111117893"/>
      <name val="Arial"/>
      <family val="2"/>
    </font>
    <font>
      <b/>
      <sz val="14"/>
      <name val="Arial"/>
      <family val="2"/>
    </font>
    <font>
      <b/>
      <sz val="12"/>
      <color theme="1" tint="0.249977111117893"/>
      <name val="Arial"/>
      <family val="2"/>
    </font>
    <font>
      <b/>
      <sz val="12"/>
      <name val="Arial"/>
      <family val="2"/>
    </font>
    <font>
      <b/>
      <sz val="12"/>
      <color theme="0"/>
      <name val="Arial"/>
      <family val="2"/>
    </font>
    <font>
      <sz val="12"/>
      <name val="Arial"/>
      <family val="2"/>
    </font>
    <font>
      <b/>
      <sz val="16"/>
      <color theme="1"/>
      <name val="Arial"/>
      <family val="2"/>
    </font>
    <font>
      <b/>
      <sz val="16"/>
      <color rgb="FFFF0000"/>
      <name val="Arial"/>
      <family val="2"/>
    </font>
    <font>
      <u/>
      <sz val="11"/>
      <color theme="10"/>
      <name val="Arial"/>
      <family val="1"/>
    </font>
    <font>
      <b/>
      <sz val="10"/>
      <color rgb="FF000000"/>
      <name val="Arial"/>
      <family val="2"/>
    </font>
    <font>
      <b/>
      <sz val="11"/>
      <name val="Arial"/>
      <family val="2"/>
    </font>
    <font>
      <i/>
      <sz val="11"/>
      <color rgb="FF000000"/>
      <name val="Calibri"/>
      <family val="2"/>
    </font>
    <font>
      <sz val="10"/>
      <name val="Arial"/>
    </font>
  </fonts>
  <fills count="48">
    <fill>
      <patternFill patternType="none"/>
    </fill>
    <fill>
      <patternFill patternType="gray125"/>
    </fill>
    <fill>
      <patternFill patternType="solid">
        <fgColor rgb="FFD8ECF6"/>
      </patternFill>
    </fill>
    <fill>
      <patternFill patternType="solid">
        <fgColor rgb="FFD6D6D6"/>
      </patternFill>
    </fill>
    <fill>
      <patternFill patternType="solid">
        <fgColor rgb="FFEFEFEF"/>
      </patternFill>
    </fill>
    <fill>
      <patternFill patternType="solid">
        <fgColor rgb="FFF7F3DF"/>
      </patternFill>
    </fill>
    <fill>
      <patternFill patternType="solid">
        <fgColor rgb="FFDFF0D8"/>
      </patternFill>
    </fill>
    <fill>
      <patternFill patternType="solid">
        <fgColor rgb="FFFFFFFF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rgb="FFFFFFFF"/>
        <bgColor rgb="FFF2F2F2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6DCE4"/>
        <bgColor rgb="FFDDDDDD"/>
      </patternFill>
    </fill>
    <fill>
      <patternFill patternType="solid">
        <fgColor rgb="FFD9D9D9"/>
        <bgColor rgb="FFDDDDDD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2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</fills>
  <borders count="71">
    <border>
      <left/>
      <right/>
      <top/>
      <bottom/>
      <diagonal/>
    </border>
    <border>
      <left/>
      <right/>
      <top style="thick">
        <color rgb="FF000000"/>
      </top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/>
      <right/>
      <top/>
      <bottom style="hair">
        <color rgb="FFFFFFFF"/>
      </bottom>
      <diagonal/>
    </border>
    <border>
      <left/>
      <right style="hair">
        <color rgb="FFFFFFFF"/>
      </right>
      <top style="hair">
        <color rgb="FFFFFFFF"/>
      </top>
      <bottom/>
      <diagonal/>
    </border>
    <border>
      <left style="hair">
        <color rgb="FFFFFFFF"/>
      </left>
      <right style="hair">
        <color rgb="FFFFFFFF"/>
      </right>
      <top style="hair">
        <color rgb="FFFFFFFF"/>
      </top>
      <bottom/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/>
      <top/>
      <bottom style="medium">
        <color rgb="FF404040"/>
      </bottom>
      <diagonal/>
    </border>
    <border>
      <left/>
      <right/>
      <top style="medium">
        <color rgb="FF40404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/>
      <right style="thin">
        <color rgb="FFCCCCCC"/>
      </right>
      <top style="thin">
        <color rgb="FFCCCCCC"/>
      </top>
      <bottom style="thin">
        <color rgb="FFCCCCCC"/>
      </bottom>
      <diagonal/>
    </border>
    <border>
      <left/>
      <right/>
      <top style="thin">
        <color rgb="FFCCCCCC"/>
      </top>
      <bottom/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theme="0"/>
      </right>
      <top style="medium">
        <color indexed="64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indexed="64"/>
      </top>
      <bottom/>
      <diagonal/>
    </border>
    <border>
      <left style="medium">
        <color theme="0"/>
      </left>
      <right style="medium">
        <color theme="0"/>
      </right>
      <top style="medium">
        <color indexed="64"/>
      </top>
      <bottom style="medium">
        <color theme="0"/>
      </bottom>
      <diagonal/>
    </border>
    <border>
      <left style="medium">
        <color indexed="64"/>
      </left>
      <right/>
      <top style="medium">
        <color indexed="64"/>
      </top>
      <bottom style="medium">
        <color theme="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/>
      <bottom style="thin">
        <color auto="1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rgb="FFCCCCCC"/>
      </left>
      <right style="thin">
        <color rgb="FFCCCCCC"/>
      </right>
      <top/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/>
      <diagonal/>
    </border>
    <border>
      <left style="thin">
        <color rgb="FFCCCCCC"/>
      </left>
      <right/>
      <top style="thin">
        <color rgb="FFCCCCCC"/>
      </top>
      <bottom style="thick">
        <color rgb="FF000000"/>
      </bottom>
      <diagonal/>
    </border>
    <border>
      <left/>
      <right style="thin">
        <color rgb="FFCCCCCC"/>
      </right>
      <top style="thin">
        <color rgb="FFCCCCCC"/>
      </top>
      <bottom style="thick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rgb="FF000000"/>
      </bottom>
      <diagonal/>
    </border>
  </borders>
  <cellStyleXfs count="231">
    <xf numFmtId="0" fontId="0" fillId="0" borderId="0"/>
    <xf numFmtId="0" fontId="12" fillId="8" borderId="0" applyNumberFormat="0" applyBorder="0" applyAlignment="0" applyProtection="0"/>
    <xf numFmtId="0" fontId="13" fillId="0" borderId="0"/>
    <xf numFmtId="0" fontId="18" fillId="0" borderId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31" fillId="0" borderId="0"/>
    <xf numFmtId="0" fontId="31" fillId="0" borderId="0"/>
    <xf numFmtId="0" fontId="6" fillId="0" borderId="0"/>
    <xf numFmtId="0" fontId="31" fillId="0" borderId="0"/>
    <xf numFmtId="0" fontId="31" fillId="0" borderId="0"/>
    <xf numFmtId="0" fontId="31" fillId="0" borderId="0"/>
    <xf numFmtId="0" fontId="6" fillId="0" borderId="0"/>
    <xf numFmtId="0" fontId="31" fillId="0" borderId="0"/>
    <xf numFmtId="0" fontId="6" fillId="0" borderId="0"/>
    <xf numFmtId="0" fontId="32" fillId="0" borderId="0"/>
    <xf numFmtId="0" fontId="33" fillId="0" borderId="0"/>
    <xf numFmtId="0" fontId="6" fillId="0" borderId="0"/>
    <xf numFmtId="9" fontId="3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4" fillId="0" borderId="0" applyBorder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33" fillId="0" borderId="0" applyBorder="0" applyProtection="0"/>
    <xf numFmtId="43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0" fontId="36" fillId="0" borderId="20" applyNumberFormat="0" applyFill="0" applyAlignment="0" applyProtection="0"/>
    <xf numFmtId="0" fontId="37" fillId="0" borderId="21" applyNumberFormat="0" applyFill="0" applyAlignment="0" applyProtection="0"/>
    <xf numFmtId="0" fontId="38" fillId="0" borderId="22" applyNumberFormat="0" applyFill="0" applyAlignment="0" applyProtection="0"/>
    <xf numFmtId="0" fontId="38" fillId="0" borderId="0" applyNumberFormat="0" applyFill="0" applyBorder="0" applyAlignment="0" applyProtection="0"/>
    <xf numFmtId="0" fontId="39" fillId="12" borderId="0" applyNumberFormat="0" applyBorder="0" applyAlignment="0" applyProtection="0"/>
    <xf numFmtId="0" fontId="40" fillId="13" borderId="0" applyNumberFormat="0" applyBorder="0" applyAlignment="0" applyProtection="0"/>
    <xf numFmtId="0" fontId="41" fillId="14" borderId="0" applyNumberFormat="0" applyBorder="0" applyAlignment="0" applyProtection="0"/>
    <xf numFmtId="0" fontId="42" fillId="15" borderId="23" applyNumberFormat="0" applyAlignment="0" applyProtection="0"/>
    <xf numFmtId="0" fontId="43" fillId="16" borderId="24" applyNumberFormat="0" applyAlignment="0" applyProtection="0"/>
    <xf numFmtId="0" fontId="44" fillId="16" borderId="23" applyNumberFormat="0" applyAlignment="0" applyProtection="0"/>
    <xf numFmtId="0" fontId="45" fillId="0" borderId="25" applyNumberFormat="0" applyFill="0" applyAlignment="0" applyProtection="0"/>
    <xf numFmtId="0" fontId="46" fillId="17" borderId="26" applyNumberFormat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28" applyNumberFormat="0" applyFill="0" applyAlignment="0" applyProtection="0"/>
    <xf numFmtId="0" fontId="12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5" fillId="28" borderId="0" applyNumberFormat="0" applyBorder="0" applyAlignment="0" applyProtection="0"/>
    <xf numFmtId="0" fontId="5" fillId="29" borderId="0" applyNumberFormat="0" applyBorder="0" applyAlignment="0" applyProtection="0"/>
    <xf numFmtId="0" fontId="12" fillId="30" borderId="0" applyNumberFormat="0" applyBorder="0" applyAlignment="0" applyProtection="0"/>
    <xf numFmtId="0" fontId="12" fillId="31" borderId="0" applyNumberFormat="0" applyBorder="0" applyAlignment="0" applyProtection="0"/>
    <xf numFmtId="0" fontId="5" fillId="32" borderId="0" applyNumberFormat="0" applyBorder="0" applyAlignment="0" applyProtection="0"/>
    <xf numFmtId="0" fontId="5" fillId="33" borderId="0" applyNumberFormat="0" applyBorder="0" applyAlignment="0" applyProtection="0"/>
    <xf numFmtId="0" fontId="12" fillId="34" borderId="0" applyNumberFormat="0" applyBorder="0" applyAlignment="0" applyProtection="0"/>
    <xf numFmtId="0" fontId="12" fillId="35" borderId="0" applyNumberFormat="0" applyBorder="0" applyAlignment="0" applyProtection="0"/>
    <xf numFmtId="0" fontId="5" fillId="36" borderId="0" applyNumberFormat="0" applyBorder="0" applyAlignment="0" applyProtection="0"/>
    <xf numFmtId="0" fontId="5" fillId="37" borderId="0" applyNumberFormat="0" applyBorder="0" applyAlignment="0" applyProtection="0"/>
    <xf numFmtId="0" fontId="12" fillId="38" borderId="0" applyNumberFormat="0" applyBorder="0" applyAlignment="0" applyProtection="0"/>
    <xf numFmtId="0" fontId="5" fillId="39" borderId="0" applyNumberFormat="0" applyBorder="0" applyAlignment="0" applyProtection="0"/>
    <xf numFmtId="0" fontId="12" fillId="40" borderId="0" applyNumberFormat="0" applyBorder="0" applyAlignment="0" applyProtection="0"/>
    <xf numFmtId="0" fontId="60" fillId="0" borderId="0" applyNumberFormat="0" applyFill="0" applyBorder="0" applyAlignment="0" applyProtection="0"/>
    <xf numFmtId="0" fontId="5" fillId="9" borderId="0" applyNumberFormat="0" applyBorder="0" applyAlignment="0" applyProtection="0"/>
    <xf numFmtId="0" fontId="5" fillId="0" borderId="0"/>
    <xf numFmtId="0" fontId="5" fillId="18" borderId="27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18" borderId="27" applyNumberFormat="0" applyFont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8" borderId="0" applyNumberFormat="0" applyBorder="0" applyAlignment="0" applyProtection="0"/>
    <xf numFmtId="0" fontId="5" fillId="29" borderId="0" applyNumberFormat="0" applyBorder="0" applyAlignment="0" applyProtection="0"/>
    <xf numFmtId="0" fontId="5" fillId="32" borderId="0" applyNumberFormat="0" applyBorder="0" applyAlignment="0" applyProtection="0"/>
    <xf numFmtId="0" fontId="5" fillId="33" borderId="0" applyNumberFormat="0" applyBorder="0" applyAlignment="0" applyProtection="0"/>
    <xf numFmtId="0" fontId="5" fillId="36" borderId="0" applyNumberFormat="0" applyBorder="0" applyAlignment="0" applyProtection="0"/>
    <xf numFmtId="0" fontId="5" fillId="37" borderId="0" applyNumberFormat="0" applyBorder="0" applyAlignment="0" applyProtection="0"/>
    <xf numFmtId="0" fontId="5" fillId="9" borderId="0" applyNumberFormat="0" applyBorder="0" applyAlignment="0" applyProtection="0"/>
    <xf numFmtId="0" fontId="5" fillId="39" borderId="0" applyNumberFormat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8" fillId="45" borderId="0" applyNumberFormat="0" applyBorder="0" applyAlignment="0" applyProtection="0"/>
    <xf numFmtId="0" fontId="59" fillId="43" borderId="35" applyFont="0" applyBorder="0" applyAlignment="0">
      <alignment horizontal="center" vertical="center"/>
    </xf>
    <xf numFmtId="0" fontId="31" fillId="0" borderId="0"/>
    <xf numFmtId="0" fontId="31" fillId="0" borderId="0"/>
    <xf numFmtId="43" fontId="32" fillId="0" borderId="0" applyFont="0" applyFill="0" applyBorder="0" applyAlignment="0" applyProtection="0"/>
    <xf numFmtId="171" fontId="31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31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0" fontId="58" fillId="0" borderId="0"/>
    <xf numFmtId="0" fontId="61" fillId="0" borderId="0">
      <alignment vertical="center"/>
    </xf>
    <xf numFmtId="43" fontId="58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4" fontId="3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9" borderId="0" applyNumberFormat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71" fillId="0" borderId="0" applyNumberFormat="0" applyFill="0" applyBorder="0" applyAlignment="0" applyProtection="0"/>
    <xf numFmtId="0" fontId="75" fillId="0" borderId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9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18" borderId="27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8" borderId="27" applyNumberFormat="0" applyFont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9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3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58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9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18" borderId="27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8" borderId="27" applyNumberFormat="0" applyFont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9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58" fillId="45" borderId="0" applyNumberFormat="0" applyBorder="0" applyAlignment="0" applyProtection="0"/>
    <xf numFmtId="43" fontId="3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3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58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</cellStyleXfs>
  <cellXfs count="624">
    <xf numFmtId="0" fontId="0" fillId="0" borderId="0" xfId="0"/>
    <xf numFmtId="0" fontId="13" fillId="10" borderId="0" xfId="2" applyFill="1"/>
    <xf numFmtId="49" fontId="14" fillId="10" borderId="0" xfId="2" applyNumberFormat="1" applyFont="1" applyFill="1" applyBorder="1" applyAlignment="1">
      <alignment horizontal="center" vertical="center"/>
    </xf>
    <xf numFmtId="0" fontId="16" fillId="10" borderId="0" xfId="2" applyFont="1" applyFill="1" applyBorder="1" applyAlignment="1">
      <alignment horizontal="left"/>
    </xf>
    <xf numFmtId="0" fontId="17" fillId="10" borderId="0" xfId="2" applyFont="1" applyFill="1"/>
    <xf numFmtId="0" fontId="16" fillId="10" borderId="0" xfId="2" applyFont="1" applyFill="1" applyBorder="1" applyAlignment="1">
      <alignment horizontal="right"/>
    </xf>
    <xf numFmtId="10" fontId="19" fillId="10" borderId="0" xfId="3" applyNumberFormat="1" applyFont="1" applyFill="1" applyBorder="1" applyAlignment="1" applyProtection="1">
      <alignment horizontal="left" vertical="center"/>
    </xf>
    <xf numFmtId="0" fontId="21" fillId="10" borderId="0" xfId="2" applyFont="1" applyFill="1" applyAlignment="1">
      <alignment vertical="center"/>
    </xf>
    <xf numFmtId="0" fontId="22" fillId="10" borderId="0" xfId="2" applyFont="1" applyFill="1" applyAlignment="1">
      <alignment vertical="center"/>
    </xf>
    <xf numFmtId="0" fontId="23" fillId="10" borderId="0" xfId="2" applyFont="1" applyFill="1" applyAlignment="1">
      <alignment vertical="center"/>
    </xf>
    <xf numFmtId="0" fontId="24" fillId="0" borderId="4" xfId="2" applyFont="1" applyBorder="1" applyAlignment="1">
      <alignment horizontal="center" vertical="center"/>
    </xf>
    <xf numFmtId="0" fontId="24" fillId="0" borderId="5" xfId="2" applyFont="1" applyBorder="1" applyAlignment="1">
      <alignment horizontal="center" vertical="center" wrapText="1"/>
    </xf>
    <xf numFmtId="0" fontId="21" fillId="0" borderId="6" xfId="2" applyFont="1" applyBorder="1" applyAlignment="1">
      <alignment horizontal="center" vertical="center" wrapText="1"/>
    </xf>
    <xf numFmtId="0" fontId="21" fillId="0" borderId="7" xfId="2" applyFont="1" applyBorder="1" applyAlignment="1">
      <alignment horizontal="left" vertical="center" wrapText="1"/>
    </xf>
    <xf numFmtId="10" fontId="21" fillId="0" borderId="8" xfId="3" applyNumberFormat="1" applyFont="1" applyBorder="1" applyAlignment="1" applyProtection="1">
      <alignment vertical="center" wrapText="1"/>
    </xf>
    <xf numFmtId="0" fontId="13" fillId="10" borderId="0" xfId="2" applyFill="1" applyBorder="1"/>
    <xf numFmtId="0" fontId="21" fillId="0" borderId="9" xfId="2" applyFont="1" applyBorder="1" applyAlignment="1">
      <alignment horizontal="center" vertical="center" wrapText="1"/>
    </xf>
    <xf numFmtId="0" fontId="21" fillId="0" borderId="10" xfId="2" applyFont="1" applyBorder="1" applyAlignment="1">
      <alignment horizontal="left" vertical="center" wrapText="1"/>
    </xf>
    <xf numFmtId="10" fontId="21" fillId="0" borderId="11" xfId="3" applyNumberFormat="1" applyFont="1" applyBorder="1" applyAlignment="1" applyProtection="1">
      <alignment vertical="center" wrapText="1"/>
    </xf>
    <xf numFmtId="0" fontId="24" fillId="0" borderId="0" xfId="2" applyFont="1" applyBorder="1" applyAlignment="1">
      <alignment horizontal="center" vertical="center" wrapText="1"/>
    </xf>
    <xf numFmtId="10" fontId="21" fillId="0" borderId="0" xfId="2" applyNumberFormat="1" applyFont="1" applyBorder="1" applyAlignment="1">
      <alignment horizontal="center" vertical="center" wrapText="1"/>
    </xf>
    <xf numFmtId="10" fontId="13" fillId="10" borderId="0" xfId="2" applyNumberFormat="1" applyFill="1" applyBorder="1" applyAlignment="1">
      <alignment horizontal="center"/>
    </xf>
    <xf numFmtId="10" fontId="21" fillId="0" borderId="11" xfId="2" applyNumberFormat="1" applyFont="1" applyBorder="1" applyAlignment="1">
      <alignment vertical="center" wrapText="1"/>
    </xf>
    <xf numFmtId="0" fontId="25" fillId="0" borderId="10" xfId="2" applyFont="1" applyBorder="1" applyAlignment="1">
      <alignment horizontal="left" vertical="center" wrapText="1"/>
    </xf>
    <xf numFmtId="10" fontId="26" fillId="11" borderId="11" xfId="3" applyNumberFormat="1" applyFont="1" applyFill="1" applyBorder="1" applyAlignment="1" applyProtection="1">
      <alignment vertical="center" wrapText="1"/>
    </xf>
    <xf numFmtId="0" fontId="25" fillId="0" borderId="13" xfId="2" applyFont="1" applyBorder="1" applyAlignment="1">
      <alignment horizontal="left" vertical="center" wrapText="1"/>
    </xf>
    <xf numFmtId="10" fontId="21" fillId="0" borderId="14" xfId="2" applyNumberFormat="1" applyFont="1" applyBorder="1" applyAlignment="1">
      <alignment vertical="center" wrapText="1"/>
    </xf>
    <xf numFmtId="10" fontId="27" fillId="0" borderId="8" xfId="2" applyNumberFormat="1" applyFont="1" applyBorder="1" applyAlignment="1" applyProtection="1">
      <alignment horizontal="right" vertical="center"/>
    </xf>
    <xf numFmtId="10" fontId="27" fillId="10" borderId="14" xfId="2" applyNumberFormat="1" applyFont="1" applyFill="1" applyBorder="1" applyAlignment="1" applyProtection="1">
      <alignment horizontal="right" vertical="center"/>
    </xf>
    <xf numFmtId="0" fontId="21" fillId="10" borderId="15" xfId="2" applyFont="1" applyFill="1" applyBorder="1" applyAlignment="1">
      <alignment vertical="center"/>
    </xf>
    <xf numFmtId="0" fontId="28" fillId="10" borderId="0" xfId="3" applyFont="1" applyFill="1" applyBorder="1" applyAlignment="1" applyProtection="1">
      <alignment horizontal="center" vertical="center"/>
    </xf>
    <xf numFmtId="0" fontId="29" fillId="10" borderId="0" xfId="3" applyFont="1" applyFill="1" applyBorder="1" applyAlignment="1" applyProtection="1">
      <alignment horizontal="left" vertical="center"/>
    </xf>
    <xf numFmtId="10" fontId="28" fillId="10" borderId="0" xfId="3" applyNumberFormat="1" applyFont="1" applyFill="1" applyBorder="1" applyAlignment="1" applyProtection="1">
      <alignment horizontal="center" vertical="center"/>
    </xf>
    <xf numFmtId="0" fontId="30" fillId="10" borderId="0" xfId="2" applyFont="1" applyFill="1" applyAlignment="1">
      <alignment vertical="center"/>
    </xf>
    <xf numFmtId="0" fontId="21" fillId="10" borderId="0" xfId="2" applyFont="1" applyFill="1" applyBorder="1" applyAlignment="1">
      <alignment vertical="center"/>
    </xf>
    <xf numFmtId="0" fontId="30" fillId="10" borderId="0" xfId="2" applyFont="1" applyFill="1" applyBorder="1" applyAlignment="1">
      <alignment vertical="center"/>
    </xf>
    <xf numFmtId="0" fontId="13" fillId="11" borderId="0" xfId="2" applyFill="1"/>
    <xf numFmtId="0" fontId="13" fillId="0" borderId="0" xfId="2"/>
    <xf numFmtId="0" fontId="11" fillId="7" borderId="0" xfId="0" applyFont="1" applyFill="1" applyAlignment="1">
      <alignment horizontal="left" vertical="top" wrapText="1"/>
    </xf>
    <xf numFmtId="0" fontId="10" fillId="6" borderId="1" xfId="0" applyFont="1" applyFill="1" applyBorder="1" applyAlignment="1">
      <alignment horizontal="left" vertical="top" wrapText="1"/>
    </xf>
    <xf numFmtId="4" fontId="11" fillId="7" borderId="0" xfId="0" applyNumberFormat="1" applyFont="1" applyFill="1" applyAlignment="1">
      <alignment horizontal="right" vertical="top" wrapText="1"/>
    </xf>
    <xf numFmtId="4" fontId="11" fillId="4" borderId="2" xfId="0" applyNumberFormat="1" applyFont="1" applyFill="1" applyBorder="1" applyAlignment="1">
      <alignment horizontal="right" vertical="top" wrapText="1"/>
    </xf>
    <xf numFmtId="166" fontId="11" fillId="4" borderId="2" xfId="0" applyNumberFormat="1" applyFont="1" applyFill="1" applyBorder="1" applyAlignment="1">
      <alignment horizontal="right" vertical="top" wrapText="1"/>
    </xf>
    <xf numFmtId="0" fontId="11" fillId="4" borderId="2" xfId="0" applyFont="1" applyFill="1" applyBorder="1" applyAlignment="1">
      <alignment horizontal="center" vertical="top" wrapText="1"/>
    </xf>
    <xf numFmtId="0" fontId="11" fillId="4" borderId="2" xfId="0" applyFont="1" applyFill="1" applyBorder="1" applyAlignment="1">
      <alignment horizontal="right" vertical="top" wrapText="1"/>
    </xf>
    <xf numFmtId="4" fontId="10" fillId="6" borderId="2" xfId="0" applyNumberFormat="1" applyFont="1" applyFill="1" applyBorder="1" applyAlignment="1">
      <alignment horizontal="right" vertical="top" wrapText="1"/>
    </xf>
    <xf numFmtId="166" fontId="10" fillId="6" borderId="2" xfId="0" applyNumberFormat="1" applyFont="1" applyFill="1" applyBorder="1" applyAlignment="1">
      <alignment horizontal="right" vertical="top" wrapText="1"/>
    </xf>
    <xf numFmtId="0" fontId="10" fillId="6" borderId="2" xfId="0" applyFont="1" applyFill="1" applyBorder="1" applyAlignment="1">
      <alignment horizontal="center" vertical="top" wrapText="1"/>
    </xf>
    <xf numFmtId="0" fontId="10" fillId="6" borderId="2" xfId="0" applyFont="1" applyFill="1" applyBorder="1" applyAlignment="1">
      <alignment horizontal="right" vertical="top" wrapText="1"/>
    </xf>
    <xf numFmtId="0" fontId="7" fillId="7" borderId="2" xfId="0" applyFont="1" applyFill="1" applyBorder="1" applyAlignment="1">
      <alignment horizontal="right" vertical="top" wrapText="1"/>
    </xf>
    <xf numFmtId="4" fontId="11" fillId="3" borderId="2" xfId="0" applyNumberFormat="1" applyFont="1" applyFill="1" applyBorder="1" applyAlignment="1">
      <alignment horizontal="right" vertical="top" wrapText="1"/>
    </xf>
    <xf numFmtId="166" fontId="11" fillId="3" borderId="2" xfId="0" applyNumberFormat="1" applyFont="1" applyFill="1" applyBorder="1" applyAlignment="1">
      <alignment horizontal="right" vertical="top" wrapText="1"/>
    </xf>
    <xf numFmtId="0" fontId="11" fillId="3" borderId="2" xfId="0" applyFont="1" applyFill="1" applyBorder="1" applyAlignment="1">
      <alignment horizontal="center" vertical="top" wrapText="1"/>
    </xf>
    <xf numFmtId="0" fontId="11" fillId="3" borderId="2" xfId="0" applyFont="1" applyFill="1" applyBorder="1" applyAlignment="1">
      <alignment horizontal="right" vertical="top" wrapText="1"/>
    </xf>
    <xf numFmtId="0" fontId="0" fillId="0" borderId="0" xfId="0"/>
    <xf numFmtId="0" fontId="7" fillId="7" borderId="0" xfId="0" applyFont="1" applyFill="1" applyAlignment="1">
      <alignment horizontal="left" vertical="top" wrapText="1"/>
    </xf>
    <xf numFmtId="0" fontId="10" fillId="6" borderId="2" xfId="0" applyFont="1" applyFill="1" applyBorder="1" applyAlignment="1">
      <alignment horizontal="left" vertical="top" wrapText="1"/>
    </xf>
    <xf numFmtId="0" fontId="9" fillId="7" borderId="0" xfId="0" applyFont="1" applyFill="1" applyAlignment="1">
      <alignment horizontal="right" vertical="top" wrapText="1"/>
    </xf>
    <xf numFmtId="0" fontId="11" fillId="7" borderId="0" xfId="0" applyFont="1" applyFill="1" applyAlignment="1">
      <alignment horizontal="center" vertical="top" wrapText="1"/>
    </xf>
    <xf numFmtId="0" fontId="0" fillId="0" borderId="0" xfId="0"/>
    <xf numFmtId="0" fontId="9" fillId="7" borderId="0" xfId="0" applyFont="1" applyFill="1" applyAlignment="1">
      <alignment horizontal="right" vertical="top" wrapText="1"/>
    </xf>
    <xf numFmtId="0" fontId="11" fillId="7" borderId="0" xfId="0" applyFont="1" applyFill="1" applyAlignment="1">
      <alignment horizontal="center" vertical="top" wrapText="1"/>
    </xf>
    <xf numFmtId="165" fontId="10" fillId="6" borderId="2" xfId="0" applyNumberFormat="1" applyFont="1" applyFill="1" applyBorder="1" applyAlignment="1">
      <alignment horizontal="right" vertical="top" wrapText="1"/>
    </xf>
    <xf numFmtId="165" fontId="10" fillId="5" borderId="2" xfId="0" applyNumberFormat="1" applyFont="1" applyFill="1" applyBorder="1" applyAlignment="1">
      <alignment horizontal="right" vertical="top" wrapText="1"/>
    </xf>
    <xf numFmtId="4" fontId="10" fillId="5" borderId="2" xfId="0" applyNumberFormat="1" applyFont="1" applyFill="1" applyBorder="1" applyAlignment="1">
      <alignment horizontal="right" vertical="top" wrapText="1"/>
    </xf>
    <xf numFmtId="0" fontId="10" fillId="5" borderId="2" xfId="0" applyFont="1" applyFill="1" applyBorder="1" applyAlignment="1">
      <alignment horizontal="right" vertical="top" wrapText="1"/>
    </xf>
    <xf numFmtId="0" fontId="10" fillId="5" borderId="2" xfId="0" applyFont="1" applyFill="1" applyBorder="1" applyAlignment="1">
      <alignment horizontal="center" vertical="top" wrapText="1"/>
    </xf>
    <xf numFmtId="0" fontId="10" fillId="5" borderId="2" xfId="0" applyFont="1" applyFill="1" applyBorder="1" applyAlignment="1">
      <alignment horizontal="left" vertical="top" wrapText="1"/>
    </xf>
    <xf numFmtId="4" fontId="8" fillId="2" borderId="2" xfId="0" applyNumberFormat="1" applyFont="1" applyFill="1" applyBorder="1" applyAlignment="1">
      <alignment horizontal="right" vertical="top" wrapText="1"/>
    </xf>
    <xf numFmtId="0" fontId="8" fillId="2" borderId="2" xfId="0" applyFont="1" applyFill="1" applyBorder="1" applyAlignment="1">
      <alignment horizontal="left" vertical="top" wrapText="1"/>
    </xf>
    <xf numFmtId="0" fontId="8" fillId="2" borderId="2" xfId="0" applyFont="1" applyFill="1" applyBorder="1" applyAlignment="1">
      <alignment horizontal="right" vertical="top" wrapText="1"/>
    </xf>
    <xf numFmtId="0" fontId="7" fillId="7" borderId="2" xfId="0" applyFont="1" applyFill="1" applyBorder="1" applyAlignment="1">
      <alignment horizontal="right" vertical="top" wrapText="1"/>
    </xf>
    <xf numFmtId="0" fontId="7" fillId="7" borderId="2" xfId="0" applyFont="1" applyFill="1" applyBorder="1" applyAlignment="1">
      <alignment horizontal="center" vertical="top" wrapText="1"/>
    </xf>
    <xf numFmtId="0" fontId="7" fillId="7" borderId="2" xfId="0" applyFont="1" applyFill="1" applyBorder="1" applyAlignment="1">
      <alignment horizontal="right" vertical="top" wrapText="1"/>
    </xf>
    <xf numFmtId="0" fontId="7" fillId="7" borderId="0" xfId="0" applyFont="1" applyFill="1" applyAlignment="1">
      <alignment horizontal="left" vertical="top" wrapText="1"/>
    </xf>
    <xf numFmtId="0" fontId="9" fillId="7" borderId="0" xfId="0" applyFont="1" applyFill="1" applyAlignment="1">
      <alignment horizontal="left" vertical="top" wrapText="1"/>
    </xf>
    <xf numFmtId="0" fontId="0" fillId="0" borderId="0" xfId="0"/>
    <xf numFmtId="0" fontId="7" fillId="7" borderId="2" xfId="0" applyFont="1" applyFill="1" applyBorder="1" applyAlignment="1">
      <alignment horizontal="left" vertical="top" wrapText="1"/>
    </xf>
    <xf numFmtId="0" fontId="7" fillId="7" borderId="2" xfId="0" applyFont="1" applyFill="1" applyBorder="1" applyAlignment="1">
      <alignment horizontal="center" vertical="top" wrapText="1"/>
    </xf>
    <xf numFmtId="0" fontId="9" fillId="7" borderId="0" xfId="0" applyFont="1" applyFill="1" applyAlignment="1">
      <alignment horizontal="right" vertical="top" wrapText="1"/>
    </xf>
    <xf numFmtId="0" fontId="11" fillId="4" borderId="2" xfId="0" applyFont="1" applyFill="1" applyBorder="1" applyAlignment="1">
      <alignment horizontal="left" vertical="top" wrapText="1"/>
    </xf>
    <xf numFmtId="0" fontId="10" fillId="6" borderId="2" xfId="0" applyFont="1" applyFill="1" applyBorder="1" applyAlignment="1">
      <alignment horizontal="left" vertical="top" wrapText="1"/>
    </xf>
    <xf numFmtId="0" fontId="11" fillId="3" borderId="2" xfId="0" applyFont="1" applyFill="1" applyBorder="1" applyAlignment="1">
      <alignment horizontal="left" vertical="top" wrapText="1"/>
    </xf>
    <xf numFmtId="0" fontId="11" fillId="7" borderId="0" xfId="0" applyFont="1" applyFill="1" applyAlignment="1">
      <alignment horizontal="right" vertical="top" wrapText="1"/>
    </xf>
    <xf numFmtId="43" fontId="8" fillId="2" borderId="2" xfId="32" applyFont="1" applyFill="1" applyBorder="1" applyAlignment="1">
      <alignment horizontal="right" vertical="top" wrapText="1"/>
    </xf>
    <xf numFmtId="43" fontId="10" fillId="5" borderId="2" xfId="32" applyFont="1" applyFill="1" applyBorder="1" applyAlignment="1">
      <alignment horizontal="right" vertical="top" wrapText="1"/>
    </xf>
    <xf numFmtId="43" fontId="10" fillId="6" borderId="2" xfId="32" applyFont="1" applyFill="1" applyBorder="1" applyAlignment="1">
      <alignment horizontal="right" vertical="top" wrapText="1"/>
    </xf>
    <xf numFmtId="43" fontId="9" fillId="7" borderId="0" xfId="32" applyFont="1" applyFill="1" applyAlignment="1">
      <alignment horizontal="right" vertical="top" wrapText="1"/>
    </xf>
    <xf numFmtId="43" fontId="11" fillId="7" borderId="0" xfId="32" applyFont="1" applyFill="1" applyAlignment="1">
      <alignment horizontal="center" vertical="top" wrapText="1"/>
    </xf>
    <xf numFmtId="43" fontId="0" fillId="0" borderId="0" xfId="32" applyFont="1"/>
    <xf numFmtId="0" fontId="52" fillId="41" borderId="32" xfId="47" applyFont="1" applyFill="1" applyBorder="1" applyAlignment="1" applyProtection="1">
      <alignment horizontal="center" vertical="center" wrapText="1"/>
      <protection hidden="1"/>
    </xf>
    <xf numFmtId="0" fontId="52" fillId="41" borderId="33" xfId="47" applyFont="1" applyFill="1" applyBorder="1" applyAlignment="1" applyProtection="1">
      <alignment horizontal="center" vertical="center" wrapText="1"/>
      <protection hidden="1"/>
    </xf>
    <xf numFmtId="169" fontId="52" fillId="41" borderId="33" xfId="47" applyNumberFormat="1" applyFont="1" applyFill="1" applyBorder="1" applyAlignment="1" applyProtection="1">
      <alignment horizontal="center" vertical="center" wrapText="1"/>
    </xf>
    <xf numFmtId="169" fontId="53" fillId="41" borderId="33" xfId="47" applyNumberFormat="1" applyFont="1" applyFill="1" applyBorder="1" applyAlignment="1" applyProtection="1">
      <alignment horizontal="center" vertical="center" wrapText="1"/>
    </xf>
    <xf numFmtId="0" fontId="54" fillId="42" borderId="9" xfId="47" applyFont="1" applyFill="1" applyBorder="1" applyAlignment="1" applyProtection="1">
      <alignment horizontal="center" vertical="center"/>
      <protection locked="0"/>
    </xf>
    <xf numFmtId="0" fontId="55" fillId="10" borderId="10" xfId="47" applyFont="1" applyFill="1" applyBorder="1" applyAlignment="1" applyProtection="1">
      <alignment horizontal="center" vertical="center"/>
      <protection locked="0"/>
    </xf>
    <xf numFmtId="0" fontId="25" fillId="10" borderId="10" xfId="47" applyFont="1" applyFill="1" applyBorder="1" applyAlignment="1" applyProtection="1">
      <alignment horizontal="left" vertical="center" wrapText="1"/>
      <protection hidden="1"/>
    </xf>
    <xf numFmtId="0" fontId="25" fillId="10" borderId="10" xfId="47" applyFont="1" applyFill="1" applyBorder="1" applyAlignment="1" applyProtection="1">
      <alignment horizontal="center" vertical="center" wrapText="1"/>
      <protection hidden="1"/>
    </xf>
    <xf numFmtId="2" fontId="25" fillId="10" borderId="10" xfId="47" applyNumberFormat="1" applyFont="1" applyFill="1" applyBorder="1" applyAlignment="1" applyProtection="1">
      <alignment horizontal="center" vertical="center" wrapText="1"/>
      <protection locked="0"/>
    </xf>
    <xf numFmtId="170" fontId="25" fillId="0" borderId="10" xfId="47" applyNumberFormat="1" applyFont="1" applyBorder="1" applyAlignment="1" applyProtection="1">
      <alignment horizontal="right" vertical="center" wrapText="1"/>
      <protection locked="0"/>
    </xf>
    <xf numFmtId="170" fontId="25" fillId="10" borderId="10" xfId="47" applyNumberFormat="1" applyFont="1" applyFill="1" applyBorder="1" applyAlignment="1" applyProtection="1">
      <alignment horizontal="center" vertical="center" wrapText="1"/>
      <protection locked="0"/>
    </xf>
    <xf numFmtId="2" fontId="25" fillId="10" borderId="10" xfId="47" applyNumberFormat="1" applyFont="1" applyFill="1" applyBorder="1" applyAlignment="1" applyProtection="1">
      <alignment horizontal="center" vertical="center" wrapText="1"/>
      <protection hidden="1"/>
    </xf>
    <xf numFmtId="2" fontId="56" fillId="10" borderId="10" xfId="47" applyNumberFormat="1" applyFont="1" applyFill="1" applyBorder="1" applyAlignment="1" applyProtection="1">
      <alignment horizontal="center" vertical="center" wrapText="1"/>
      <protection hidden="1"/>
    </xf>
    <xf numFmtId="10" fontId="57" fillId="0" borderId="10" xfId="47" applyNumberFormat="1" applyFont="1" applyBorder="1" applyAlignment="1" applyProtection="1">
      <alignment horizontal="center" vertical="center" wrapText="1"/>
      <protection hidden="1"/>
    </xf>
    <xf numFmtId="10" fontId="57" fillId="10" borderId="10" xfId="47" applyNumberFormat="1" applyFont="1" applyFill="1" applyBorder="1" applyAlignment="1" applyProtection="1">
      <alignment horizontal="center" vertical="center" wrapText="1"/>
      <protection hidden="1"/>
    </xf>
    <xf numFmtId="170" fontId="52" fillId="10" borderId="34" xfId="47" applyNumberFormat="1" applyFont="1" applyFill="1" applyBorder="1" applyAlignment="1" applyProtection="1">
      <alignment horizontal="right" wrapText="1"/>
    </xf>
    <xf numFmtId="10" fontId="8" fillId="2" borderId="2" xfId="33" applyNumberFormat="1" applyFont="1" applyFill="1" applyBorder="1" applyAlignment="1">
      <alignment horizontal="right" vertical="top" wrapText="1"/>
    </xf>
    <xf numFmtId="0" fontId="9" fillId="44" borderId="0" xfId="0" applyFont="1" applyFill="1" applyBorder="1" applyAlignment="1">
      <alignment vertical="top" wrapText="1"/>
    </xf>
    <xf numFmtId="0" fontId="0" fillId="0" borderId="0" xfId="0"/>
    <xf numFmtId="0" fontId="7" fillId="7" borderId="2" xfId="0" applyFont="1" applyFill="1" applyBorder="1" applyAlignment="1">
      <alignment horizontal="right" vertical="top" wrapText="1"/>
    </xf>
    <xf numFmtId="43" fontId="10" fillId="6" borderId="2" xfId="32" applyFont="1" applyFill="1" applyBorder="1" applyAlignment="1">
      <alignment horizontal="center" vertical="center" wrapText="1"/>
    </xf>
    <xf numFmtId="172" fontId="9" fillId="44" borderId="0" xfId="0" applyNumberFormat="1" applyFont="1" applyFill="1" applyAlignment="1">
      <alignment horizontal="right" vertical="top" wrapText="1"/>
    </xf>
    <xf numFmtId="0" fontId="7" fillId="7" borderId="2" xfId="0" applyFont="1" applyFill="1" applyBorder="1" applyAlignment="1">
      <alignment horizontal="right" vertical="center" wrapText="1"/>
    </xf>
    <xf numFmtId="0" fontId="0" fillId="0" borderId="0" xfId="0"/>
    <xf numFmtId="0" fontId="10" fillId="6" borderId="2" xfId="0" applyFont="1" applyFill="1" applyBorder="1" applyAlignment="1">
      <alignment horizontal="left" vertical="top" wrapText="1"/>
    </xf>
    <xf numFmtId="43" fontId="8" fillId="2" borderId="2" xfId="33" applyNumberFormat="1" applyFont="1" applyFill="1" applyBorder="1" applyAlignment="1">
      <alignment horizontal="right" vertical="top" wrapText="1"/>
    </xf>
    <xf numFmtId="10" fontId="9" fillId="44" borderId="0" xfId="33" applyNumberFormat="1" applyFont="1" applyFill="1" applyBorder="1" applyAlignment="1">
      <alignment vertical="top" wrapText="1"/>
    </xf>
    <xf numFmtId="0" fontId="62" fillId="0" borderId="0" xfId="121" applyFont="1" applyAlignment="1" applyProtection="1">
      <alignment horizontal="left" vertical="center"/>
      <protection locked="0"/>
    </xf>
    <xf numFmtId="0" fontId="62" fillId="0" borderId="0" xfId="121" applyFont="1" applyAlignment="1" applyProtection="1">
      <alignment vertical="center" wrapText="1"/>
      <protection locked="0"/>
    </xf>
    <xf numFmtId="0" fontId="62" fillId="0" borderId="0" xfId="121" applyFont="1" applyAlignment="1" applyProtection="1">
      <alignment horizontal="center" vertical="center"/>
      <protection locked="0"/>
    </xf>
    <xf numFmtId="0" fontId="63" fillId="11" borderId="39" xfId="8" applyFont="1" applyFill="1" applyBorder="1" applyAlignment="1">
      <alignment horizontal="left" vertical="center"/>
    </xf>
    <xf numFmtId="0" fontId="63" fillId="11" borderId="41" xfId="8" applyFont="1" applyFill="1" applyBorder="1" applyAlignment="1" applyProtection="1">
      <alignment horizontal="left" vertical="center"/>
      <protection locked="0"/>
    </xf>
    <xf numFmtId="0" fontId="65" fillId="11" borderId="39" xfId="8" applyFont="1" applyFill="1" applyBorder="1" applyAlignment="1">
      <alignment horizontal="left" vertical="center"/>
    </xf>
    <xf numFmtId="0" fontId="65" fillId="11" borderId="41" xfId="8" applyFont="1" applyFill="1" applyBorder="1" applyAlignment="1" applyProtection="1">
      <alignment horizontal="left" vertical="center"/>
      <protection locked="0"/>
    </xf>
    <xf numFmtId="0" fontId="65" fillId="11" borderId="44" xfId="8" applyFont="1" applyFill="1" applyBorder="1" applyAlignment="1">
      <alignment horizontal="right" vertical="center"/>
    </xf>
    <xf numFmtId="167" fontId="65" fillId="44" borderId="46" xfId="122" applyFont="1" applyFill="1" applyBorder="1" applyAlignment="1" applyProtection="1">
      <alignment horizontal="center" vertical="center"/>
      <protection locked="0"/>
    </xf>
    <xf numFmtId="167" fontId="67" fillId="46" borderId="49" xfId="122" applyFont="1" applyFill="1" applyBorder="1" applyAlignment="1" applyProtection="1">
      <alignment horizontal="center" vertical="center"/>
      <protection locked="0"/>
    </xf>
    <xf numFmtId="167" fontId="65" fillId="44" borderId="51" xfId="122" applyFont="1" applyFill="1" applyBorder="1" applyAlignment="1" applyProtection="1">
      <alignment vertical="center"/>
      <protection locked="0"/>
    </xf>
    <xf numFmtId="167" fontId="67" fillId="46" borderId="51" xfId="122" applyFont="1" applyFill="1" applyBorder="1" applyAlignment="1" applyProtection="1">
      <alignment vertical="center"/>
      <protection locked="0"/>
    </xf>
    <xf numFmtId="172" fontId="66" fillId="47" borderId="19" xfId="120" applyNumberFormat="1" applyFont="1" applyFill="1" applyBorder="1" applyAlignment="1" applyProtection="1">
      <alignment horizontal="center" vertical="center"/>
      <protection locked="0"/>
    </xf>
    <xf numFmtId="164" fontId="68" fillId="0" borderId="39" xfId="4" quotePrefix="1" applyFont="1" applyFill="1" applyBorder="1" applyAlignment="1" applyProtection="1">
      <alignment vertical="center"/>
    </xf>
    <xf numFmtId="164" fontId="66" fillId="0" borderId="56" xfId="33" quotePrefix="1" applyNumberFormat="1" applyFont="1" applyFill="1" applyBorder="1" applyAlignment="1" applyProtection="1">
      <alignment horizontal="left" vertical="center"/>
    </xf>
    <xf numFmtId="10" fontId="66" fillId="11" borderId="18" xfId="33" applyNumberFormat="1" applyFont="1" applyFill="1" applyBorder="1" applyAlignment="1" applyProtection="1">
      <alignment horizontal="center" vertical="center" wrapText="1"/>
      <protection locked="0"/>
    </xf>
    <xf numFmtId="10" fontId="68" fillId="0" borderId="39" xfId="33" quotePrefix="1" applyNumberFormat="1" applyFont="1" applyFill="1" applyBorder="1" applyAlignment="1" applyProtection="1">
      <alignment horizontal="center" vertical="center"/>
    </xf>
    <xf numFmtId="173" fontId="68" fillId="11" borderId="56" xfId="33" quotePrefix="1" applyNumberFormat="1" applyFont="1" applyFill="1" applyBorder="1" applyAlignment="1" applyProtection="1">
      <alignment horizontal="left" vertical="center"/>
    </xf>
    <xf numFmtId="0" fontId="66" fillId="47" borderId="44" xfId="121" applyFont="1" applyFill="1" applyBorder="1" applyAlignment="1" applyProtection="1">
      <alignment horizontal="left" vertical="center"/>
      <protection locked="0"/>
    </xf>
    <xf numFmtId="0" fontId="66" fillId="47" borderId="58" xfId="121" applyFont="1" applyFill="1" applyBorder="1" applyAlignment="1">
      <alignment vertical="center" wrapText="1"/>
    </xf>
    <xf numFmtId="172" fontId="66" fillId="47" borderId="58" xfId="4" quotePrefix="1" applyNumberFormat="1" applyFont="1" applyFill="1" applyBorder="1" applyAlignment="1" applyProtection="1">
      <alignment horizontal="center" vertical="center"/>
      <protection locked="0"/>
    </xf>
    <xf numFmtId="164" fontId="66" fillId="47" borderId="58" xfId="4" quotePrefix="1" applyFont="1" applyFill="1" applyBorder="1" applyAlignment="1" applyProtection="1">
      <alignment vertical="center"/>
      <protection locked="0"/>
    </xf>
    <xf numFmtId="164" fontId="66" fillId="47" borderId="58" xfId="4" quotePrefix="1" applyFont="1" applyFill="1" applyBorder="1" applyAlignment="1" applyProtection="1">
      <alignment horizontal="center" vertical="center"/>
      <protection locked="0"/>
    </xf>
    <xf numFmtId="164" fontId="66" fillId="47" borderId="45" xfId="122" applyNumberFormat="1" applyFont="1" applyFill="1" applyBorder="1" applyAlignment="1" applyProtection="1">
      <alignment vertical="center"/>
    </xf>
    <xf numFmtId="43" fontId="69" fillId="0" borderId="0" xfId="32" applyFont="1" applyAlignment="1" applyProtection="1">
      <alignment horizontal="center" vertical="center"/>
      <protection locked="0"/>
    </xf>
    <xf numFmtId="43" fontId="70" fillId="0" borderId="0" xfId="32" applyFont="1" applyAlignment="1" applyProtection="1">
      <alignment horizontal="center" vertical="center"/>
      <protection locked="0"/>
    </xf>
    <xf numFmtId="164" fontId="62" fillId="0" borderId="0" xfId="121" applyNumberFormat="1" applyFont="1" applyAlignment="1" applyProtection="1">
      <alignment horizontal="center" vertical="center"/>
      <protection locked="0"/>
    </xf>
    <xf numFmtId="10" fontId="62" fillId="0" borderId="0" xfId="33" applyNumberFormat="1" applyFont="1" applyAlignment="1" applyProtection="1">
      <alignment horizontal="center" vertical="center"/>
      <protection locked="0"/>
    </xf>
    <xf numFmtId="0" fontId="64" fillId="11" borderId="36" xfId="8" applyFont="1" applyFill="1" applyBorder="1" applyAlignment="1" applyProtection="1">
      <alignment horizontal="right" vertical="center"/>
      <protection locked="0"/>
    </xf>
    <xf numFmtId="174" fontId="64" fillId="11" borderId="42" xfId="8" applyNumberFormat="1" applyFont="1" applyFill="1" applyBorder="1" applyAlignment="1" applyProtection="1">
      <alignment horizontal="right" vertical="center"/>
      <protection locked="0"/>
    </xf>
    <xf numFmtId="174" fontId="66" fillId="11" borderId="42" xfId="8" applyNumberFormat="1" applyFont="1" applyFill="1" applyBorder="1" applyAlignment="1">
      <alignment horizontal="right" vertical="center"/>
    </xf>
    <xf numFmtId="0" fontId="66" fillId="11" borderId="42" xfId="8" applyFont="1" applyFill="1" applyBorder="1" applyAlignment="1">
      <alignment horizontal="right" vertical="center"/>
    </xf>
    <xf numFmtId="167" fontId="66" fillId="11" borderId="45" xfId="25" applyFont="1" applyFill="1" applyBorder="1" applyAlignment="1" applyProtection="1">
      <alignment horizontal="right" vertical="center"/>
      <protection locked="0"/>
    </xf>
    <xf numFmtId="0" fontId="0" fillId="0" borderId="0" xfId="0"/>
    <xf numFmtId="0" fontId="0" fillId="0" borderId="0" xfId="0"/>
    <xf numFmtId="0" fontId="7" fillId="7" borderId="2" xfId="0" applyFont="1" applyFill="1" applyBorder="1" applyAlignment="1">
      <alignment horizontal="left" vertical="top" wrapText="1"/>
    </xf>
    <xf numFmtId="0" fontId="7" fillId="7" borderId="2" xfId="0" applyFont="1" applyFill="1" applyBorder="1" applyAlignment="1">
      <alignment horizontal="right" vertical="top" wrapText="1"/>
    </xf>
    <xf numFmtId="0" fontId="7" fillId="7" borderId="2" xfId="0" applyFont="1" applyFill="1" applyBorder="1" applyAlignment="1">
      <alignment horizontal="center" vertical="top" wrapText="1"/>
    </xf>
    <xf numFmtId="0" fontId="11" fillId="4" borderId="2" xfId="0" applyFont="1" applyFill="1" applyBorder="1" applyAlignment="1">
      <alignment horizontal="left" vertical="top" wrapText="1"/>
    </xf>
    <xf numFmtId="0" fontId="10" fillId="6" borderId="2" xfId="0" applyFont="1" applyFill="1" applyBorder="1" applyAlignment="1">
      <alignment horizontal="left" vertical="top" wrapText="1"/>
    </xf>
    <xf numFmtId="0" fontId="11" fillId="7" borderId="0" xfId="0" applyFont="1" applyFill="1" applyAlignment="1">
      <alignment horizontal="right" vertical="top" wrapText="1"/>
    </xf>
    <xf numFmtId="0" fontId="0" fillId="0" borderId="0" xfId="0"/>
    <xf numFmtId="0" fontId="3" fillId="0" borderId="0" xfId="124"/>
    <xf numFmtId="164" fontId="3" fillId="0" borderId="17" xfId="124" applyNumberFormat="1" applyBorder="1"/>
    <xf numFmtId="164" fontId="0" fillId="0" borderId="17" xfId="125" applyFont="1" applyBorder="1"/>
    <xf numFmtId="0" fontId="12" fillId="8" borderId="17" xfId="1" applyBorder="1" applyAlignment="1">
      <alignment horizontal="center" vertical="center"/>
    </xf>
    <xf numFmtId="0" fontId="3" fillId="0" borderId="17" xfId="124" applyBorder="1" applyAlignment="1">
      <alignment vertical="center" wrapText="1"/>
    </xf>
    <xf numFmtId="0" fontId="3" fillId="0" borderId="17" xfId="124" applyBorder="1" applyAlignment="1">
      <alignment horizontal="center" vertical="center" wrapText="1"/>
    </xf>
    <xf numFmtId="0" fontId="3" fillId="0" borderId="17" xfId="124" applyBorder="1"/>
    <xf numFmtId="0" fontId="3" fillId="0" borderId="17" xfId="124" applyFont="1" applyBorder="1"/>
    <xf numFmtId="0" fontId="0" fillId="0" borderId="17" xfId="0" applyBorder="1" applyAlignment="1">
      <alignment horizontal="center"/>
    </xf>
    <xf numFmtId="175" fontId="0" fillId="0" borderId="17" xfId="0" applyNumberFormat="1" applyBorder="1" applyAlignment="1">
      <alignment horizontal="center"/>
    </xf>
    <xf numFmtId="1" fontId="0" fillId="0" borderId="17" xfId="0" applyNumberFormat="1" applyBorder="1" applyAlignment="1">
      <alignment horizontal="center" vertical="center"/>
    </xf>
    <xf numFmtId="0" fontId="0" fillId="0" borderId="17" xfId="0" applyBorder="1"/>
    <xf numFmtId="1" fontId="0" fillId="0" borderId="17" xfId="0" applyNumberFormat="1" applyBorder="1"/>
    <xf numFmtId="0" fontId="0" fillId="0" borderId="17" xfId="0" applyFont="1" applyBorder="1"/>
    <xf numFmtId="0" fontId="0" fillId="0" borderId="17" xfId="0" applyBorder="1" applyAlignment="1">
      <alignment wrapText="1"/>
    </xf>
    <xf numFmtId="0" fontId="0" fillId="0" borderId="17" xfId="0" applyBorder="1" applyAlignment="1">
      <alignment horizontal="center" vertical="center" wrapText="1"/>
    </xf>
    <xf numFmtId="164" fontId="0" fillId="0" borderId="17" xfId="0" applyNumberFormat="1" applyBorder="1"/>
    <xf numFmtId="0" fontId="71" fillId="0" borderId="17" xfId="126" applyBorder="1" applyAlignment="1">
      <alignment vertical="center" wrapText="1"/>
    </xf>
    <xf numFmtId="4" fontId="11" fillId="3" borderId="2" xfId="0" applyNumberFormat="1" applyFont="1" applyFill="1" applyBorder="1" applyAlignment="1">
      <alignment horizontal="right" vertical="top" wrapText="1"/>
    </xf>
    <xf numFmtId="4" fontId="11" fillId="4" borderId="2" xfId="0" applyNumberFormat="1" applyFont="1" applyFill="1" applyBorder="1" applyAlignment="1">
      <alignment horizontal="right" vertical="top" wrapText="1"/>
    </xf>
    <xf numFmtId="0" fontId="11" fillId="7" borderId="0" xfId="0" applyFont="1" applyFill="1" applyAlignment="1">
      <alignment horizontal="right" vertical="top" wrapText="1"/>
    </xf>
    <xf numFmtId="4" fontId="11" fillId="7" borderId="0" xfId="0" applyNumberFormat="1" applyFont="1" applyFill="1" applyAlignment="1">
      <alignment horizontal="right" vertical="top" wrapText="1"/>
    </xf>
    <xf numFmtId="0" fontId="0" fillId="0" borderId="0" xfId="0"/>
    <xf numFmtId="0" fontId="7" fillId="7" borderId="2" xfId="0" applyFont="1" applyFill="1" applyBorder="1" applyAlignment="1">
      <alignment horizontal="right" vertical="top" wrapText="1"/>
    </xf>
    <xf numFmtId="0" fontId="10" fillId="6" borderId="2" xfId="0" applyFont="1" applyFill="1" applyBorder="1" applyAlignment="1">
      <alignment horizontal="left" vertical="top" wrapText="1"/>
    </xf>
    <xf numFmtId="0" fontId="10" fillId="6" borderId="2" xfId="0" applyFont="1" applyFill="1" applyBorder="1" applyAlignment="1">
      <alignment horizontal="center" vertical="top" wrapText="1"/>
    </xf>
    <xf numFmtId="0" fontId="10" fillId="6" borderId="2" xfId="0" applyFont="1" applyFill="1" applyBorder="1" applyAlignment="1">
      <alignment horizontal="right" vertical="top" wrapText="1"/>
    </xf>
    <xf numFmtId="4" fontId="10" fillId="6" borderId="2" xfId="0" applyNumberFormat="1" applyFont="1" applyFill="1" applyBorder="1" applyAlignment="1">
      <alignment horizontal="right" vertical="top" wrapText="1"/>
    </xf>
    <xf numFmtId="165" fontId="10" fillId="6" borderId="2" xfId="0" applyNumberFormat="1" applyFont="1" applyFill="1" applyBorder="1" applyAlignment="1">
      <alignment horizontal="right" vertical="top" wrapText="1"/>
    </xf>
    <xf numFmtId="0" fontId="10" fillId="5" borderId="2" xfId="0" applyFont="1" applyFill="1" applyBorder="1" applyAlignment="1">
      <alignment horizontal="left" vertical="top" wrapText="1"/>
    </xf>
    <xf numFmtId="0" fontId="7" fillId="7" borderId="2" xfId="0" applyFont="1" applyFill="1" applyBorder="1" applyAlignment="1">
      <alignment horizontal="left" vertical="top" wrapText="1"/>
    </xf>
    <xf numFmtId="0" fontId="7" fillId="7" borderId="2" xfId="0" applyFont="1" applyFill="1" applyBorder="1" applyAlignment="1">
      <alignment horizontal="center" vertical="top" wrapText="1"/>
    </xf>
    <xf numFmtId="0" fontId="0" fillId="0" borderId="0" xfId="0"/>
    <xf numFmtId="0" fontId="10" fillId="6" borderId="2" xfId="0" applyFont="1" applyFill="1" applyBorder="1" applyAlignment="1">
      <alignment horizontal="left" vertical="top" wrapText="1"/>
    </xf>
    <xf numFmtId="0" fontId="10" fillId="6" borderId="2" xfId="0" applyFont="1" applyFill="1" applyBorder="1" applyAlignment="1">
      <alignment horizontal="center" vertical="top" wrapText="1"/>
    </xf>
    <xf numFmtId="0" fontId="10" fillId="6" borderId="2" xfId="0" applyFont="1" applyFill="1" applyBorder="1" applyAlignment="1">
      <alignment horizontal="right" vertical="top" wrapText="1"/>
    </xf>
    <xf numFmtId="166" fontId="10" fillId="6" borderId="2" xfId="0" applyNumberFormat="1" applyFont="1" applyFill="1" applyBorder="1" applyAlignment="1">
      <alignment horizontal="right" vertical="top" wrapText="1"/>
    </xf>
    <xf numFmtId="0" fontId="11" fillId="3" borderId="2" xfId="0" applyFont="1" applyFill="1" applyBorder="1" applyAlignment="1">
      <alignment horizontal="left" vertical="top" wrapText="1"/>
    </xf>
    <xf numFmtId="0" fontId="11" fillId="3" borderId="2" xfId="0" applyFont="1" applyFill="1" applyBorder="1" applyAlignment="1">
      <alignment horizontal="center" vertical="top" wrapText="1"/>
    </xf>
    <xf numFmtId="0" fontId="11" fillId="3" borderId="2" xfId="0" applyFont="1" applyFill="1" applyBorder="1" applyAlignment="1">
      <alignment horizontal="right" vertical="top" wrapText="1"/>
    </xf>
    <xf numFmtId="166" fontId="11" fillId="3" borderId="2" xfId="0" applyNumberFormat="1" applyFont="1" applyFill="1" applyBorder="1" applyAlignment="1">
      <alignment horizontal="right" vertical="top" wrapText="1"/>
    </xf>
    <xf numFmtId="0" fontId="11" fillId="4" borderId="2" xfId="0" applyFont="1" applyFill="1" applyBorder="1" applyAlignment="1">
      <alignment horizontal="left" vertical="top" wrapText="1"/>
    </xf>
    <xf numFmtId="0" fontId="11" fillId="4" borderId="2" xfId="0" applyFont="1" applyFill="1" applyBorder="1" applyAlignment="1">
      <alignment horizontal="center" vertical="top" wrapText="1"/>
    </xf>
    <xf numFmtId="0" fontId="11" fillId="4" borderId="2" xfId="0" applyFont="1" applyFill="1" applyBorder="1" applyAlignment="1">
      <alignment horizontal="right" vertical="top" wrapText="1"/>
    </xf>
    <xf numFmtId="166" fontId="11" fillId="4" borderId="2" xfId="0" applyNumberFormat="1" applyFont="1" applyFill="1" applyBorder="1" applyAlignment="1">
      <alignment horizontal="right" vertical="top" wrapText="1"/>
    </xf>
    <xf numFmtId="0" fontId="7" fillId="7" borderId="2" xfId="0" applyFont="1" applyFill="1" applyBorder="1" applyAlignment="1">
      <alignment horizontal="center" vertical="top" wrapText="1"/>
    </xf>
    <xf numFmtId="0" fontId="7" fillId="7" borderId="2" xfId="0" applyFont="1" applyFill="1" applyBorder="1" applyAlignment="1">
      <alignment horizontal="left" vertical="top" wrapText="1"/>
    </xf>
    <xf numFmtId="0" fontId="7" fillId="7" borderId="2" xfId="0" applyFont="1" applyFill="1" applyBorder="1" applyAlignment="1">
      <alignment horizontal="right" vertical="top" wrapText="1"/>
    </xf>
    <xf numFmtId="0" fontId="0" fillId="0" borderId="0" xfId="0"/>
    <xf numFmtId="0" fontId="11" fillId="7" borderId="0" xfId="0" applyFont="1" applyFill="1" applyAlignment="1">
      <alignment horizontal="right" vertical="top" wrapText="1"/>
    </xf>
    <xf numFmtId="0" fontId="10" fillId="6" borderId="2" xfId="0" applyFont="1" applyFill="1" applyBorder="1" applyAlignment="1">
      <alignment horizontal="left" vertical="top" wrapText="1"/>
    </xf>
    <xf numFmtId="0" fontId="10" fillId="6" borderId="2" xfId="0" applyFont="1" applyFill="1" applyBorder="1" applyAlignment="1">
      <alignment horizontal="center" vertical="top" wrapText="1"/>
    </xf>
    <xf numFmtId="0" fontId="10" fillId="6" borderId="2" xfId="0" applyFont="1" applyFill="1" applyBorder="1" applyAlignment="1">
      <alignment horizontal="right" vertical="top" wrapText="1"/>
    </xf>
    <xf numFmtId="4" fontId="10" fillId="6" borderId="2" xfId="0" applyNumberFormat="1" applyFont="1" applyFill="1" applyBorder="1" applyAlignment="1">
      <alignment horizontal="right" vertical="top" wrapText="1"/>
    </xf>
    <xf numFmtId="165" fontId="10" fillId="6" borderId="2" xfId="0" applyNumberFormat="1" applyFont="1" applyFill="1" applyBorder="1" applyAlignment="1">
      <alignment horizontal="right" vertical="top" wrapText="1"/>
    </xf>
    <xf numFmtId="0" fontId="71" fillId="0" borderId="17" xfId="126" applyBorder="1" applyAlignment="1">
      <alignment horizontal="center" vertical="center" wrapText="1"/>
    </xf>
    <xf numFmtId="0" fontId="10" fillId="6" borderId="2" xfId="0" applyFont="1" applyFill="1" applyBorder="1" applyAlignment="1">
      <alignment horizontal="left" vertical="top" wrapText="1"/>
    </xf>
    <xf numFmtId="0" fontId="10" fillId="6" borderId="2" xfId="0" applyFont="1" applyFill="1" applyBorder="1" applyAlignment="1">
      <alignment horizontal="center" vertical="top" wrapText="1"/>
    </xf>
    <xf numFmtId="0" fontId="10" fillId="6" borderId="2" xfId="0" applyFont="1" applyFill="1" applyBorder="1" applyAlignment="1">
      <alignment horizontal="right" vertical="top" wrapText="1"/>
    </xf>
    <xf numFmtId="166" fontId="10" fillId="6" borderId="2" xfId="0" applyNumberFormat="1" applyFont="1" applyFill="1" applyBorder="1" applyAlignment="1">
      <alignment horizontal="right" vertical="top" wrapText="1"/>
    </xf>
    <xf numFmtId="0" fontId="11" fillId="3" borderId="2" xfId="0" applyFont="1" applyFill="1" applyBorder="1" applyAlignment="1">
      <alignment horizontal="left" vertical="top" wrapText="1"/>
    </xf>
    <xf numFmtId="0" fontId="11" fillId="3" borderId="2" xfId="0" applyFont="1" applyFill="1" applyBorder="1" applyAlignment="1">
      <alignment horizontal="center" vertical="top" wrapText="1"/>
    </xf>
    <xf numFmtId="0" fontId="11" fillId="3" borderId="2" xfId="0" applyFont="1" applyFill="1" applyBorder="1" applyAlignment="1">
      <alignment horizontal="right" vertical="top" wrapText="1"/>
    </xf>
    <xf numFmtId="166" fontId="11" fillId="3" borderId="2" xfId="0" applyNumberFormat="1" applyFont="1" applyFill="1" applyBorder="1" applyAlignment="1">
      <alignment horizontal="right" vertical="top" wrapText="1"/>
    </xf>
    <xf numFmtId="0" fontId="11" fillId="4" borderId="2" xfId="0" applyFont="1" applyFill="1" applyBorder="1" applyAlignment="1">
      <alignment horizontal="left" vertical="top" wrapText="1"/>
    </xf>
    <xf numFmtId="0" fontId="11" fillId="4" borderId="2" xfId="0" applyFont="1" applyFill="1" applyBorder="1" applyAlignment="1">
      <alignment horizontal="center" vertical="top" wrapText="1"/>
    </xf>
    <xf numFmtId="0" fontId="11" fillId="4" borderId="2" xfId="0" applyFont="1" applyFill="1" applyBorder="1" applyAlignment="1">
      <alignment horizontal="right" vertical="top" wrapText="1"/>
    </xf>
    <xf numFmtId="166" fontId="11" fillId="4" borderId="2" xfId="0" applyNumberFormat="1" applyFont="1" applyFill="1" applyBorder="1" applyAlignment="1">
      <alignment horizontal="right" vertical="top" wrapText="1"/>
    </xf>
    <xf numFmtId="0" fontId="71" fillId="0" borderId="17" xfId="126" applyBorder="1" applyAlignment="1">
      <alignment wrapText="1"/>
    </xf>
    <xf numFmtId="176" fontId="5" fillId="0" borderId="17" xfId="100" applyNumberFormat="1" applyBorder="1"/>
    <xf numFmtId="0" fontId="0" fillId="0" borderId="0" xfId="0"/>
    <xf numFmtId="0" fontId="10" fillId="6" borderId="2" xfId="0" applyFont="1" applyFill="1" applyBorder="1" applyAlignment="1">
      <alignment horizontal="left" vertical="top" wrapText="1"/>
    </xf>
    <xf numFmtId="0" fontId="11" fillId="3" borderId="2" xfId="0" applyFont="1" applyFill="1" applyBorder="1" applyAlignment="1">
      <alignment horizontal="left" vertical="top" wrapText="1"/>
    </xf>
    <xf numFmtId="0" fontId="11" fillId="7" borderId="0" xfId="0" applyFont="1" applyFill="1" applyAlignment="1">
      <alignment horizontal="right" vertical="top" wrapText="1"/>
    </xf>
    <xf numFmtId="0" fontId="63" fillId="11" borderId="37" xfId="8" applyFont="1" applyFill="1" applyBorder="1" applyAlignment="1" applyProtection="1">
      <alignment horizontal="center" vertical="center"/>
      <protection locked="0"/>
    </xf>
    <xf numFmtId="0" fontId="7" fillId="7" borderId="2" xfId="0" applyFont="1" applyFill="1" applyBorder="1" applyAlignment="1">
      <alignment horizontal="center" vertical="top" wrapText="1"/>
    </xf>
    <xf numFmtId="0" fontId="7" fillId="7" borderId="2" xfId="0" applyFont="1" applyFill="1" applyBorder="1" applyAlignment="1">
      <alignment horizontal="left" vertical="top" wrapText="1"/>
    </xf>
    <xf numFmtId="0" fontId="7" fillId="7" borderId="2" xfId="0" applyFont="1" applyFill="1" applyBorder="1" applyAlignment="1">
      <alignment horizontal="right" vertical="top" wrapText="1"/>
    </xf>
    <xf numFmtId="0" fontId="0" fillId="0" borderId="0" xfId="0"/>
    <xf numFmtId="0" fontId="11" fillId="3" borderId="2" xfId="0" applyFont="1" applyFill="1" applyBorder="1" applyAlignment="1">
      <alignment horizontal="left" vertical="top" wrapText="1"/>
    </xf>
    <xf numFmtId="0" fontId="10" fillId="6" borderId="2" xfId="0" applyFont="1" applyFill="1" applyBorder="1" applyAlignment="1">
      <alignment horizontal="left" vertical="top" wrapText="1"/>
    </xf>
    <xf numFmtId="0" fontId="11" fillId="4" borderId="2" xfId="0" applyFont="1" applyFill="1" applyBorder="1" applyAlignment="1">
      <alignment horizontal="left" vertical="top" wrapText="1"/>
    </xf>
    <xf numFmtId="0" fontId="11" fillId="7" borderId="0" xfId="0" applyFont="1" applyFill="1" applyAlignment="1">
      <alignment horizontal="right" vertical="top" wrapText="1"/>
    </xf>
    <xf numFmtId="174" fontId="64" fillId="11" borderId="40" xfId="8" applyNumberFormat="1" applyFont="1" applyFill="1" applyBorder="1" applyAlignment="1" applyProtection="1">
      <alignment horizontal="center" vertical="center"/>
      <protection locked="0"/>
    </xf>
    <xf numFmtId="0" fontId="66" fillId="11" borderId="40" xfId="8" applyFont="1" applyFill="1" applyBorder="1" applyAlignment="1">
      <alignment horizontal="center" vertical="center"/>
    </xf>
    <xf numFmtId="0" fontId="65" fillId="11" borderId="64" xfId="8" applyFont="1" applyFill="1" applyBorder="1" applyAlignment="1" applyProtection="1">
      <alignment horizontal="left" vertical="center"/>
      <protection locked="0"/>
    </xf>
    <xf numFmtId="4" fontId="66" fillId="11" borderId="63" xfId="122" applyNumberFormat="1" applyFont="1" applyFill="1" applyBorder="1" applyAlignment="1" applyProtection="1">
      <alignment horizontal="center" vertical="center"/>
      <protection locked="0"/>
    </xf>
    <xf numFmtId="164" fontId="3" fillId="0" borderId="0" xfId="124" applyNumberFormat="1"/>
    <xf numFmtId="0" fontId="11" fillId="11" borderId="2" xfId="0" applyFont="1" applyFill="1" applyBorder="1" applyAlignment="1">
      <alignment horizontal="left" vertical="top" wrapText="1"/>
    </xf>
    <xf numFmtId="0" fontId="11" fillId="11" borderId="2" xfId="0" applyFont="1" applyFill="1" applyBorder="1" applyAlignment="1">
      <alignment horizontal="right" vertical="top" wrapText="1"/>
    </xf>
    <xf numFmtId="0" fontId="11" fillId="11" borderId="2" xfId="0" applyFont="1" applyFill="1" applyBorder="1" applyAlignment="1">
      <alignment horizontal="center" vertical="top" wrapText="1"/>
    </xf>
    <xf numFmtId="166" fontId="11" fillId="11" borderId="2" xfId="0" applyNumberFormat="1" applyFont="1" applyFill="1" applyBorder="1" applyAlignment="1">
      <alignment horizontal="right" vertical="top" wrapText="1"/>
    </xf>
    <xf numFmtId="4" fontId="11" fillId="11" borderId="2" xfId="0" applyNumberFormat="1" applyFont="1" applyFill="1" applyBorder="1" applyAlignment="1">
      <alignment horizontal="right" vertical="top" wrapText="1"/>
    </xf>
    <xf numFmtId="0" fontId="0" fillId="11" borderId="0" xfId="0" applyFill="1"/>
    <xf numFmtId="0" fontId="73" fillId="0" borderId="0" xfId="0" applyFont="1"/>
    <xf numFmtId="0" fontId="12" fillId="8" borderId="19" xfId="1" applyBorder="1" applyAlignment="1">
      <alignment horizontal="center" vertical="center"/>
    </xf>
    <xf numFmtId="44" fontId="0" fillId="0" borderId="19" xfId="120" applyFont="1" applyBorder="1"/>
    <xf numFmtId="44" fontId="2" fillId="0" borderId="17" xfId="120" applyFont="1" applyBorder="1"/>
    <xf numFmtId="0" fontId="7" fillId="7" borderId="2" xfId="0" applyFont="1" applyFill="1" applyBorder="1" applyAlignment="1">
      <alignment horizontal="center" vertical="top" wrapText="1"/>
    </xf>
    <xf numFmtId="0" fontId="7" fillId="7" borderId="2" xfId="0" applyFont="1" applyFill="1" applyBorder="1" applyAlignment="1">
      <alignment horizontal="left" vertical="top" wrapText="1"/>
    </xf>
    <xf numFmtId="0" fontId="7" fillId="7" borderId="2" xfId="0" applyFont="1" applyFill="1" applyBorder="1" applyAlignment="1">
      <alignment horizontal="right" vertical="top" wrapText="1"/>
    </xf>
    <xf numFmtId="0" fontId="0" fillId="0" borderId="0" xfId="0"/>
    <xf numFmtId="0" fontId="10" fillId="6" borderId="2" xfId="0" applyFont="1" applyFill="1" applyBorder="1" applyAlignment="1">
      <alignment horizontal="left" vertical="top" wrapText="1"/>
    </xf>
    <xf numFmtId="0" fontId="11" fillId="7" borderId="0" xfId="0" applyFont="1" applyFill="1" applyAlignment="1">
      <alignment horizontal="right" vertical="top" wrapText="1"/>
    </xf>
    <xf numFmtId="0" fontId="7" fillId="7" borderId="2" xfId="0" applyFont="1" applyFill="1" applyBorder="1" applyAlignment="1">
      <alignment horizontal="left" vertical="top" wrapText="1"/>
    </xf>
    <xf numFmtId="0" fontId="7" fillId="7" borderId="2" xfId="0" applyFont="1" applyFill="1" applyBorder="1" applyAlignment="1">
      <alignment horizontal="right" vertical="top" wrapText="1"/>
    </xf>
    <xf numFmtId="0" fontId="7" fillId="7" borderId="2" xfId="0" applyFont="1" applyFill="1" applyBorder="1" applyAlignment="1">
      <alignment horizontal="center" vertical="top" wrapText="1"/>
    </xf>
    <xf numFmtId="0" fontId="11" fillId="7" borderId="0" xfId="0" applyFont="1" applyFill="1" applyAlignment="1">
      <alignment horizontal="right" vertical="top" wrapText="1"/>
    </xf>
    <xf numFmtId="0" fontId="10" fillId="6" borderId="2" xfId="0" applyFont="1" applyFill="1" applyBorder="1" applyAlignment="1">
      <alignment horizontal="left" vertical="top" wrapText="1"/>
    </xf>
    <xf numFmtId="0" fontId="10" fillId="6" borderId="2" xfId="0" applyFont="1" applyFill="1" applyBorder="1" applyAlignment="1">
      <alignment horizontal="center" vertical="top" wrapText="1"/>
    </xf>
    <xf numFmtId="0" fontId="10" fillId="6" borderId="2" xfId="0" applyFont="1" applyFill="1" applyBorder="1" applyAlignment="1">
      <alignment horizontal="right" vertical="top" wrapText="1"/>
    </xf>
    <xf numFmtId="166" fontId="10" fillId="6" borderId="2" xfId="0" applyNumberFormat="1" applyFont="1" applyFill="1" applyBorder="1" applyAlignment="1">
      <alignment horizontal="right" vertical="top" wrapText="1"/>
    </xf>
    <xf numFmtId="0" fontId="11" fillId="3" borderId="2" xfId="0" applyFont="1" applyFill="1" applyBorder="1" applyAlignment="1">
      <alignment horizontal="left" vertical="top" wrapText="1"/>
    </xf>
    <xf numFmtId="0" fontId="11" fillId="3" borderId="2" xfId="0" applyFont="1" applyFill="1" applyBorder="1" applyAlignment="1">
      <alignment horizontal="center" vertical="top" wrapText="1"/>
    </xf>
    <xf numFmtId="0" fontId="11" fillId="3" borderId="2" xfId="0" applyFont="1" applyFill="1" applyBorder="1" applyAlignment="1">
      <alignment horizontal="right" vertical="top" wrapText="1"/>
    </xf>
    <xf numFmtId="4" fontId="11" fillId="3" borderId="2" xfId="0" applyNumberFormat="1" applyFont="1" applyFill="1" applyBorder="1" applyAlignment="1">
      <alignment horizontal="right" vertical="top" wrapText="1"/>
    </xf>
    <xf numFmtId="166" fontId="11" fillId="3" borderId="2" xfId="0" applyNumberFormat="1" applyFont="1" applyFill="1" applyBorder="1" applyAlignment="1">
      <alignment horizontal="right" vertical="top" wrapText="1"/>
    </xf>
    <xf numFmtId="0" fontId="11" fillId="4" borderId="2" xfId="0" applyFont="1" applyFill="1" applyBorder="1" applyAlignment="1">
      <alignment horizontal="left" vertical="top" wrapText="1"/>
    </xf>
    <xf numFmtId="0" fontId="11" fillId="4" borderId="2" xfId="0" applyFont="1" applyFill="1" applyBorder="1" applyAlignment="1">
      <alignment horizontal="center" vertical="top" wrapText="1"/>
    </xf>
    <xf numFmtId="0" fontId="11" fillId="4" borderId="2" xfId="0" applyFont="1" applyFill="1" applyBorder="1" applyAlignment="1">
      <alignment horizontal="right" vertical="top" wrapText="1"/>
    </xf>
    <xf numFmtId="4" fontId="11" fillId="4" borderId="2" xfId="0" applyNumberFormat="1" applyFont="1" applyFill="1" applyBorder="1" applyAlignment="1">
      <alignment horizontal="right" vertical="top" wrapText="1"/>
    </xf>
    <xf numFmtId="166" fontId="11" fillId="4" borderId="2" xfId="0" applyNumberFormat="1" applyFont="1" applyFill="1" applyBorder="1" applyAlignment="1">
      <alignment horizontal="right" vertical="top" wrapText="1"/>
    </xf>
    <xf numFmtId="0" fontId="0" fillId="0" borderId="0" xfId="0"/>
    <xf numFmtId="0" fontId="10" fillId="6" borderId="2" xfId="0" applyFont="1" applyFill="1" applyBorder="1" applyAlignment="1">
      <alignment horizontal="left" vertical="top" wrapText="1"/>
    </xf>
    <xf numFmtId="4" fontId="10" fillId="6" borderId="2" xfId="0" applyNumberFormat="1" applyFont="1" applyFill="1" applyBorder="1" applyAlignment="1">
      <alignment horizontal="right" vertical="top" wrapText="1"/>
    </xf>
    <xf numFmtId="0" fontId="0" fillId="0" borderId="0" xfId="0"/>
    <xf numFmtId="0" fontId="10" fillId="6" borderId="2" xfId="0" applyFont="1" applyFill="1" applyBorder="1" applyAlignment="1">
      <alignment horizontal="left" vertical="top" wrapText="1"/>
    </xf>
    <xf numFmtId="0" fontId="10" fillId="6" borderId="2" xfId="0" applyFont="1" applyFill="1" applyBorder="1" applyAlignment="1">
      <alignment horizontal="center" vertical="top" wrapText="1"/>
    </xf>
    <xf numFmtId="0" fontId="10" fillId="6" borderId="2" xfId="0" applyFont="1" applyFill="1" applyBorder="1" applyAlignment="1">
      <alignment horizontal="right" vertical="top" wrapText="1"/>
    </xf>
    <xf numFmtId="4" fontId="10" fillId="6" borderId="2" xfId="0" applyNumberFormat="1" applyFont="1" applyFill="1" applyBorder="1" applyAlignment="1">
      <alignment horizontal="right" vertical="top" wrapText="1"/>
    </xf>
    <xf numFmtId="165" fontId="10" fillId="6" borderId="2" xfId="0" applyNumberFormat="1" applyFont="1" applyFill="1" applyBorder="1" applyAlignment="1">
      <alignment horizontal="right" vertical="top" wrapText="1"/>
    </xf>
    <xf numFmtId="0" fontId="10" fillId="6" borderId="2" xfId="0" applyFont="1" applyFill="1" applyBorder="1" applyAlignment="1">
      <alignment horizontal="left" vertical="top" wrapText="1"/>
    </xf>
    <xf numFmtId="0" fontId="10" fillId="6" borderId="2" xfId="0" applyFont="1" applyFill="1" applyBorder="1" applyAlignment="1">
      <alignment horizontal="center" vertical="top" wrapText="1"/>
    </xf>
    <xf numFmtId="0" fontId="10" fillId="6" borderId="2" xfId="0" applyFont="1" applyFill="1" applyBorder="1" applyAlignment="1">
      <alignment horizontal="left" vertical="top" wrapText="1"/>
    </xf>
    <xf numFmtId="0" fontId="10" fillId="6" borderId="2" xfId="0" applyFont="1" applyFill="1" applyBorder="1" applyAlignment="1">
      <alignment horizontal="center" vertical="top" wrapText="1"/>
    </xf>
    <xf numFmtId="4" fontId="10" fillId="6" borderId="2" xfId="0" applyNumberFormat="1" applyFont="1" applyFill="1" applyBorder="1" applyAlignment="1">
      <alignment horizontal="right" vertical="top" wrapText="1"/>
    </xf>
    <xf numFmtId="165" fontId="10" fillId="6" borderId="2" xfId="0" applyNumberFormat="1" applyFont="1" applyFill="1" applyBorder="1" applyAlignment="1">
      <alignment horizontal="right" vertical="top" wrapText="1"/>
    </xf>
    <xf numFmtId="0" fontId="10" fillId="6" borderId="2" xfId="0" applyFont="1" applyFill="1" applyBorder="1" applyAlignment="1">
      <alignment horizontal="left" vertical="top" wrapText="1"/>
    </xf>
    <xf numFmtId="0" fontId="10" fillId="6" borderId="2" xfId="0" applyFont="1" applyFill="1" applyBorder="1" applyAlignment="1">
      <alignment horizontal="center" vertical="top" wrapText="1"/>
    </xf>
    <xf numFmtId="0" fontId="10" fillId="6" borderId="2" xfId="0" applyFont="1" applyFill="1" applyBorder="1" applyAlignment="1">
      <alignment horizontal="right" vertical="top" wrapText="1"/>
    </xf>
    <xf numFmtId="166" fontId="10" fillId="6" borderId="2" xfId="0" applyNumberFormat="1" applyFont="1" applyFill="1" applyBorder="1" applyAlignment="1">
      <alignment horizontal="right" vertical="top" wrapText="1"/>
    </xf>
    <xf numFmtId="0" fontId="11" fillId="3" borderId="2" xfId="0" applyFont="1" applyFill="1" applyBorder="1" applyAlignment="1">
      <alignment horizontal="left" vertical="top" wrapText="1"/>
    </xf>
    <xf numFmtId="0" fontId="11" fillId="3" borderId="2" xfId="0" applyFont="1" applyFill="1" applyBorder="1" applyAlignment="1">
      <alignment horizontal="center" vertical="top" wrapText="1"/>
    </xf>
    <xf numFmtId="0" fontId="11" fillId="3" borderId="2" xfId="0" applyFont="1" applyFill="1" applyBorder="1" applyAlignment="1">
      <alignment horizontal="right" vertical="top" wrapText="1"/>
    </xf>
    <xf numFmtId="166" fontId="11" fillId="3" borderId="2" xfId="0" applyNumberFormat="1" applyFont="1" applyFill="1" applyBorder="1" applyAlignment="1">
      <alignment horizontal="right" vertical="top" wrapText="1"/>
    </xf>
    <xf numFmtId="0" fontId="11" fillId="4" borderId="2" xfId="0" applyFont="1" applyFill="1" applyBorder="1" applyAlignment="1">
      <alignment horizontal="left" vertical="top" wrapText="1"/>
    </xf>
    <xf numFmtId="0" fontId="11" fillId="4" borderId="2" xfId="0" applyFont="1" applyFill="1" applyBorder="1" applyAlignment="1">
      <alignment horizontal="center" vertical="top" wrapText="1"/>
    </xf>
    <xf numFmtId="0" fontId="11" fillId="4" borderId="2" xfId="0" applyFont="1" applyFill="1" applyBorder="1" applyAlignment="1">
      <alignment horizontal="right" vertical="top" wrapText="1"/>
    </xf>
    <xf numFmtId="166" fontId="11" fillId="4" borderId="2" xfId="0" applyNumberFormat="1" applyFont="1" applyFill="1" applyBorder="1" applyAlignment="1">
      <alignment horizontal="right" vertical="top" wrapText="1"/>
    </xf>
    <xf numFmtId="0" fontId="7" fillId="7" borderId="2" xfId="0" applyFont="1" applyFill="1" applyBorder="1" applyAlignment="1">
      <alignment horizontal="center" vertical="top" wrapText="1"/>
    </xf>
    <xf numFmtId="0" fontId="7" fillId="7" borderId="2" xfId="0" applyFont="1" applyFill="1" applyBorder="1" applyAlignment="1">
      <alignment horizontal="left" vertical="top" wrapText="1"/>
    </xf>
    <xf numFmtId="0" fontId="7" fillId="7" borderId="2" xfId="0" applyFont="1" applyFill="1" applyBorder="1" applyAlignment="1">
      <alignment horizontal="right" vertical="top" wrapText="1"/>
    </xf>
    <xf numFmtId="0" fontId="0" fillId="0" borderId="0" xfId="0"/>
    <xf numFmtId="0" fontId="11" fillId="7" borderId="0" xfId="0" applyFont="1" applyFill="1" applyAlignment="1">
      <alignment horizontal="right" vertical="top" wrapText="1"/>
    </xf>
    <xf numFmtId="0" fontId="11" fillId="7" borderId="0" xfId="0" applyFont="1" applyFill="1" applyBorder="1" applyAlignment="1">
      <alignment horizontal="right" vertical="top" wrapText="1"/>
    </xf>
    <xf numFmtId="0" fontId="7" fillId="7" borderId="65" xfId="0" applyFont="1" applyFill="1" applyBorder="1" applyAlignment="1">
      <alignment horizontal="right" vertical="top" wrapText="1"/>
    </xf>
    <xf numFmtId="166" fontId="11" fillId="4" borderId="66" xfId="0" applyNumberFormat="1" applyFont="1" applyFill="1" applyBorder="1" applyAlignment="1">
      <alignment horizontal="right" vertical="top" wrapText="1"/>
    </xf>
    <xf numFmtId="4" fontId="11" fillId="4" borderId="66" xfId="0" applyNumberFormat="1" applyFont="1" applyFill="1" applyBorder="1" applyAlignment="1">
      <alignment horizontal="right" vertical="top" wrapText="1"/>
    </xf>
    <xf numFmtId="0" fontId="10" fillId="6" borderId="2" xfId="0" applyFont="1" applyFill="1" applyBorder="1" applyAlignment="1">
      <alignment horizontal="left" vertical="top" wrapText="1"/>
    </xf>
    <xf numFmtId="0" fontId="10" fillId="6" borderId="2" xfId="0" applyFont="1" applyFill="1" applyBorder="1" applyAlignment="1">
      <alignment horizontal="center" vertical="top" wrapText="1"/>
    </xf>
    <xf numFmtId="0" fontId="10" fillId="6" borderId="2" xfId="0" applyFont="1" applyFill="1" applyBorder="1" applyAlignment="1">
      <alignment horizontal="right" vertical="top" wrapText="1"/>
    </xf>
    <xf numFmtId="166" fontId="10" fillId="6" borderId="2" xfId="0" applyNumberFormat="1" applyFont="1" applyFill="1" applyBorder="1" applyAlignment="1">
      <alignment horizontal="right" vertical="top" wrapText="1"/>
    </xf>
    <xf numFmtId="0" fontId="11" fillId="3" borderId="2" xfId="0" applyFont="1" applyFill="1" applyBorder="1" applyAlignment="1">
      <alignment horizontal="left" vertical="top" wrapText="1"/>
    </xf>
    <xf numFmtId="0" fontId="11" fillId="3" borderId="2" xfId="0" applyFont="1" applyFill="1" applyBorder="1" applyAlignment="1">
      <alignment horizontal="center" vertical="top" wrapText="1"/>
    </xf>
    <xf numFmtId="0" fontId="11" fillId="3" borderId="2" xfId="0" applyFont="1" applyFill="1" applyBorder="1" applyAlignment="1">
      <alignment horizontal="right" vertical="top" wrapText="1"/>
    </xf>
    <xf numFmtId="166" fontId="11" fillId="3" borderId="2" xfId="0" applyNumberFormat="1" applyFont="1" applyFill="1" applyBorder="1" applyAlignment="1">
      <alignment horizontal="right" vertical="top" wrapText="1"/>
    </xf>
    <xf numFmtId="0" fontId="10" fillId="6" borderId="2" xfId="0" applyFont="1" applyFill="1" applyBorder="1" applyAlignment="1">
      <alignment horizontal="left" vertical="top" wrapText="1"/>
    </xf>
    <xf numFmtId="0" fontId="11" fillId="3" borderId="2" xfId="0" applyFont="1" applyFill="1" applyBorder="1" applyAlignment="1">
      <alignment horizontal="left" vertical="top" wrapText="1"/>
    </xf>
    <xf numFmtId="4" fontId="10" fillId="6" borderId="2" xfId="0" applyNumberFormat="1" applyFont="1" applyFill="1" applyBorder="1" applyAlignment="1">
      <alignment horizontal="right" vertical="top" wrapText="1"/>
    </xf>
    <xf numFmtId="0" fontId="0" fillId="0" borderId="0" xfId="0"/>
    <xf numFmtId="0" fontId="7" fillId="7" borderId="2" xfId="0" applyFont="1" applyFill="1" applyBorder="1" applyAlignment="1">
      <alignment horizontal="left" vertical="top" wrapText="1"/>
    </xf>
    <xf numFmtId="0" fontId="7" fillId="7" borderId="2" xfId="0" applyFont="1" applyFill="1" applyBorder="1" applyAlignment="1">
      <alignment horizontal="right" vertical="top" wrapText="1"/>
    </xf>
    <xf numFmtId="0" fontId="7" fillId="7" borderId="2" xfId="0" applyFont="1" applyFill="1" applyBorder="1" applyAlignment="1">
      <alignment horizontal="center" vertical="top" wrapText="1"/>
    </xf>
    <xf numFmtId="0" fontId="11" fillId="7" borderId="0" xfId="0" applyFont="1" applyFill="1" applyAlignment="1">
      <alignment horizontal="right" vertical="top" wrapText="1"/>
    </xf>
    <xf numFmtId="0" fontId="11" fillId="7" borderId="0" xfId="0" applyFont="1" applyFill="1" applyBorder="1" applyAlignment="1">
      <alignment horizontal="right" vertical="top" wrapText="1"/>
    </xf>
    <xf numFmtId="0" fontId="0" fillId="0" borderId="0" xfId="0"/>
    <xf numFmtId="0" fontId="10" fillId="6" borderId="2" xfId="0" applyFont="1" applyFill="1" applyBorder="1" applyAlignment="1">
      <alignment horizontal="left" vertical="top" wrapText="1"/>
    </xf>
    <xf numFmtId="0" fontId="10" fillId="6" borderId="2" xfId="0" applyFont="1" applyFill="1" applyBorder="1" applyAlignment="1">
      <alignment horizontal="center" vertical="top" wrapText="1"/>
    </xf>
    <xf numFmtId="0" fontId="10" fillId="6" borderId="2" xfId="0" applyFont="1" applyFill="1" applyBorder="1" applyAlignment="1">
      <alignment horizontal="right" vertical="top" wrapText="1"/>
    </xf>
    <xf numFmtId="166" fontId="10" fillId="6" borderId="2" xfId="0" applyNumberFormat="1" applyFont="1" applyFill="1" applyBorder="1" applyAlignment="1">
      <alignment horizontal="right" vertical="top" wrapText="1"/>
    </xf>
    <xf numFmtId="0" fontId="11" fillId="3" borderId="2" xfId="0" applyFont="1" applyFill="1" applyBorder="1" applyAlignment="1">
      <alignment horizontal="left" vertical="top" wrapText="1"/>
    </xf>
    <xf numFmtId="0" fontId="11" fillId="3" borderId="2" xfId="0" applyFont="1" applyFill="1" applyBorder="1" applyAlignment="1">
      <alignment horizontal="center" vertical="top" wrapText="1"/>
    </xf>
    <xf numFmtId="0" fontId="11" fillId="3" borderId="2" xfId="0" applyFont="1" applyFill="1" applyBorder="1" applyAlignment="1">
      <alignment horizontal="right" vertical="top" wrapText="1"/>
    </xf>
    <xf numFmtId="166" fontId="11" fillId="3" borderId="2" xfId="0" applyNumberFormat="1" applyFont="1" applyFill="1" applyBorder="1" applyAlignment="1">
      <alignment horizontal="right" vertical="top" wrapText="1"/>
    </xf>
    <xf numFmtId="0" fontId="11" fillId="4" borderId="2" xfId="0" applyFont="1" applyFill="1" applyBorder="1" applyAlignment="1">
      <alignment horizontal="left" vertical="top" wrapText="1"/>
    </xf>
    <xf numFmtId="0" fontId="11" fillId="4" borderId="2" xfId="0" applyFont="1" applyFill="1" applyBorder="1" applyAlignment="1">
      <alignment horizontal="center" vertical="top" wrapText="1"/>
    </xf>
    <xf numFmtId="0" fontId="11" fillId="4" borderId="2" xfId="0" applyFont="1" applyFill="1" applyBorder="1" applyAlignment="1">
      <alignment horizontal="right" vertical="top" wrapText="1"/>
    </xf>
    <xf numFmtId="166" fontId="11" fillId="4" borderId="2" xfId="0" applyNumberFormat="1" applyFont="1" applyFill="1" applyBorder="1" applyAlignment="1">
      <alignment horizontal="right" vertical="top" wrapText="1"/>
    </xf>
    <xf numFmtId="0" fontId="10" fillId="6" borderId="2" xfId="0" applyFont="1" applyFill="1" applyBorder="1" applyAlignment="1">
      <alignment horizontal="left" vertical="top" wrapText="1"/>
    </xf>
    <xf numFmtId="0" fontId="10" fillId="6" borderId="2" xfId="0" applyFont="1" applyFill="1" applyBorder="1" applyAlignment="1">
      <alignment horizontal="center" vertical="top" wrapText="1"/>
    </xf>
    <xf numFmtId="0" fontId="10" fillId="6" borderId="2" xfId="0" applyFont="1" applyFill="1" applyBorder="1" applyAlignment="1">
      <alignment horizontal="right" vertical="top" wrapText="1"/>
    </xf>
    <xf numFmtId="4" fontId="10" fillId="6" borderId="2" xfId="0" applyNumberFormat="1" applyFont="1" applyFill="1" applyBorder="1" applyAlignment="1">
      <alignment horizontal="right" vertical="top" wrapText="1"/>
    </xf>
    <xf numFmtId="165" fontId="10" fillId="6" borderId="2" xfId="0" applyNumberFormat="1" applyFont="1" applyFill="1" applyBorder="1" applyAlignment="1">
      <alignment horizontal="right" vertical="top" wrapText="1"/>
    </xf>
    <xf numFmtId="4" fontId="10" fillId="6" borderId="2" xfId="0" applyNumberFormat="1" applyFont="1" applyFill="1" applyBorder="1" applyAlignment="1">
      <alignment horizontal="right" vertical="top" wrapText="1"/>
    </xf>
    <xf numFmtId="0" fontId="0" fillId="0" borderId="0" xfId="0"/>
    <xf numFmtId="0" fontId="11" fillId="4" borderId="2" xfId="0" applyFont="1" applyFill="1" applyBorder="1" applyAlignment="1">
      <alignment horizontal="left" vertical="top" wrapText="1"/>
    </xf>
    <xf numFmtId="0" fontId="7" fillId="7" borderId="2" xfId="0" applyFont="1" applyFill="1" applyBorder="1" applyAlignment="1">
      <alignment horizontal="center" vertical="top" wrapText="1"/>
    </xf>
    <xf numFmtId="0" fontId="7" fillId="7" borderId="2" xfId="0" applyFont="1" applyFill="1" applyBorder="1" applyAlignment="1">
      <alignment horizontal="left" vertical="top" wrapText="1"/>
    </xf>
    <xf numFmtId="0" fontId="7" fillId="7" borderId="2" xfId="0" applyFont="1" applyFill="1" applyBorder="1" applyAlignment="1">
      <alignment horizontal="right" vertical="top" wrapText="1"/>
    </xf>
    <xf numFmtId="0" fontId="0" fillId="0" borderId="0" xfId="0"/>
    <xf numFmtId="0" fontId="11" fillId="3" borderId="2" xfId="0" applyFont="1" applyFill="1" applyBorder="1" applyAlignment="1">
      <alignment horizontal="left" vertical="top" wrapText="1"/>
    </xf>
    <xf numFmtId="0" fontId="11" fillId="4" borderId="2" xfId="0" applyFont="1" applyFill="1" applyBorder="1" applyAlignment="1">
      <alignment horizontal="left" vertical="top" wrapText="1"/>
    </xf>
    <xf numFmtId="0" fontId="10" fillId="6" borderId="2" xfId="0" applyFont="1" applyFill="1" applyBorder="1" applyAlignment="1">
      <alignment horizontal="left" vertical="top" wrapText="1"/>
    </xf>
    <xf numFmtId="0" fontId="11" fillId="7" borderId="0" xfId="0" applyFont="1" applyFill="1" applyAlignment="1">
      <alignment horizontal="right" vertical="top" wrapText="1"/>
    </xf>
    <xf numFmtId="0" fontId="11" fillId="6" borderId="2" xfId="0" applyFont="1" applyFill="1" applyBorder="1" applyAlignment="1">
      <alignment horizontal="left" vertical="top" wrapText="1"/>
    </xf>
    <xf numFmtId="0" fontId="0" fillId="0" borderId="0" xfId="0"/>
    <xf numFmtId="0" fontId="0" fillId="0" borderId="17" xfId="0" applyBorder="1" applyAlignment="1">
      <alignment vertical="center" wrapText="1"/>
    </xf>
    <xf numFmtId="4" fontId="10" fillId="6" borderId="2" xfId="0" applyNumberFormat="1" applyFont="1" applyFill="1" applyBorder="1" applyAlignment="1">
      <alignment horizontal="right" vertical="top" wrapText="1"/>
    </xf>
    <xf numFmtId="166" fontId="10" fillId="6" borderId="2" xfId="0" applyNumberFormat="1" applyFont="1" applyFill="1" applyBorder="1" applyAlignment="1">
      <alignment horizontal="right" vertical="top" wrapText="1"/>
    </xf>
    <xf numFmtId="0" fontId="11" fillId="3" borderId="2" xfId="0" applyFont="1" applyFill="1" applyBorder="1" applyAlignment="1">
      <alignment horizontal="center" vertical="top" wrapText="1"/>
    </xf>
    <xf numFmtId="0" fontId="11" fillId="3" borderId="2" xfId="0" applyFont="1" applyFill="1" applyBorder="1" applyAlignment="1">
      <alignment horizontal="right" vertical="top" wrapText="1"/>
    </xf>
    <xf numFmtId="4" fontId="11" fillId="3" borderId="2" xfId="0" applyNumberFormat="1" applyFont="1" applyFill="1" applyBorder="1" applyAlignment="1">
      <alignment horizontal="right" vertical="top" wrapText="1"/>
    </xf>
    <xf numFmtId="166" fontId="11" fillId="3" borderId="2" xfId="0" applyNumberFormat="1" applyFont="1" applyFill="1" applyBorder="1" applyAlignment="1">
      <alignment horizontal="right" vertical="top" wrapText="1"/>
    </xf>
    <xf numFmtId="0" fontId="11" fillId="4" borderId="2" xfId="0" applyFont="1" applyFill="1" applyBorder="1" applyAlignment="1">
      <alignment horizontal="center" vertical="top" wrapText="1"/>
    </xf>
    <xf numFmtId="0" fontId="11" fillId="4" borderId="2" xfId="0" applyFont="1" applyFill="1" applyBorder="1" applyAlignment="1">
      <alignment horizontal="right" vertical="top" wrapText="1"/>
    </xf>
    <xf numFmtId="4" fontId="11" fillId="4" borderId="2" xfId="0" applyNumberFormat="1" applyFont="1" applyFill="1" applyBorder="1" applyAlignment="1">
      <alignment horizontal="right" vertical="top" wrapText="1"/>
    </xf>
    <xf numFmtId="166" fontId="11" fillId="4" borderId="2" xfId="0" applyNumberFormat="1" applyFont="1" applyFill="1" applyBorder="1" applyAlignment="1">
      <alignment horizontal="right" vertical="top" wrapText="1"/>
    </xf>
    <xf numFmtId="0" fontId="11" fillId="4" borderId="67" xfId="0" applyFont="1" applyFill="1" applyBorder="1" applyAlignment="1">
      <alignment horizontal="left" vertical="top" wrapText="1"/>
    </xf>
    <xf numFmtId="0" fontId="11" fillId="4" borderId="68" xfId="0" applyFont="1" applyFill="1" applyBorder="1" applyAlignment="1">
      <alignment horizontal="left" vertical="top" wrapText="1"/>
    </xf>
    <xf numFmtId="0" fontId="10" fillId="6" borderId="2" xfId="0" applyFont="1" applyFill="1" applyBorder="1" applyAlignment="1">
      <alignment horizontal="left" vertical="top" wrapText="1"/>
    </xf>
    <xf numFmtId="0" fontId="10" fillId="6" borderId="2" xfId="0" applyFont="1" applyFill="1" applyBorder="1" applyAlignment="1">
      <alignment horizontal="center" vertical="top" wrapText="1"/>
    </xf>
    <xf numFmtId="0" fontId="10" fillId="6" borderId="2" xfId="0" applyFont="1" applyFill="1" applyBorder="1" applyAlignment="1">
      <alignment horizontal="right" vertical="top" wrapText="1"/>
    </xf>
    <xf numFmtId="0" fontId="0" fillId="0" borderId="0" xfId="0"/>
    <xf numFmtId="2" fontId="11" fillId="6" borderId="2" xfId="0" applyNumberFormat="1" applyFont="1" applyFill="1" applyBorder="1" applyAlignment="1">
      <alignment horizontal="right" vertical="center" wrapText="1"/>
    </xf>
    <xf numFmtId="0" fontId="11" fillId="6" borderId="2" xfId="0" applyFont="1" applyFill="1" applyBorder="1" applyAlignment="1">
      <alignment horizontal="center" vertical="top" wrapText="1"/>
    </xf>
    <xf numFmtId="43" fontId="11" fillId="6" borderId="2" xfId="32" applyFont="1" applyFill="1" applyBorder="1" applyAlignment="1">
      <alignment horizontal="right" vertical="top" wrapText="1"/>
    </xf>
    <xf numFmtId="0" fontId="64" fillId="11" borderId="62" xfId="8" applyFont="1" applyFill="1" applyBorder="1" applyAlignment="1" applyProtection="1">
      <alignment horizontal="center" vertical="center"/>
      <protection locked="0"/>
    </xf>
    <xf numFmtId="0" fontId="74" fillId="0" borderId="0" xfId="2" applyFont="1"/>
    <xf numFmtId="0" fontId="0" fillId="0" borderId="0" xfId="0"/>
    <xf numFmtId="0" fontId="10" fillId="6" borderId="2" xfId="0" applyFont="1" applyFill="1" applyBorder="1" applyAlignment="1">
      <alignment horizontal="left" vertical="top" wrapText="1"/>
    </xf>
    <xf numFmtId="2" fontId="10" fillId="5" borderId="2" xfId="0" applyNumberFormat="1" applyFont="1" applyFill="1" applyBorder="1" applyAlignment="1">
      <alignment horizontal="right" vertical="top" wrapText="1"/>
    </xf>
    <xf numFmtId="4" fontId="10" fillId="6" borderId="2" xfId="0" applyNumberFormat="1" applyFont="1" applyFill="1" applyBorder="1" applyAlignment="1">
      <alignment horizontal="right" vertical="top" wrapText="1"/>
    </xf>
    <xf numFmtId="165" fontId="10" fillId="6" borderId="2" xfId="0" applyNumberFormat="1" applyFont="1" applyFill="1" applyBorder="1" applyAlignment="1">
      <alignment horizontal="right" vertical="top" wrapText="1"/>
    </xf>
    <xf numFmtId="0" fontId="10" fillId="6" borderId="2" xfId="0" applyFont="1" applyFill="1" applyBorder="1" applyAlignment="1">
      <alignment horizontal="left" vertical="top" wrapText="1"/>
    </xf>
    <xf numFmtId="0" fontId="10" fillId="6" borderId="2" xfId="0" applyFont="1" applyFill="1" applyBorder="1" applyAlignment="1">
      <alignment horizontal="center" vertical="top" wrapText="1"/>
    </xf>
    <xf numFmtId="0" fontId="10" fillId="6" borderId="2" xfId="0" applyFont="1" applyFill="1" applyBorder="1" applyAlignment="1">
      <alignment horizontal="right" vertical="top" wrapText="1"/>
    </xf>
    <xf numFmtId="0" fontId="0" fillId="0" borderId="0" xfId="0"/>
    <xf numFmtId="0" fontId="10" fillId="6" borderId="2" xfId="0" applyFont="1" applyFill="1" applyBorder="1" applyAlignment="1">
      <alignment horizontal="left" vertical="top" wrapText="1"/>
    </xf>
    <xf numFmtId="4" fontId="10" fillId="6" borderId="2" xfId="0" applyNumberFormat="1" applyFont="1" applyFill="1" applyBorder="1" applyAlignment="1">
      <alignment horizontal="right" vertical="top" wrapText="1"/>
    </xf>
    <xf numFmtId="165" fontId="10" fillId="6" borderId="2" xfId="0" applyNumberFormat="1" applyFont="1" applyFill="1" applyBorder="1" applyAlignment="1">
      <alignment horizontal="right" vertical="top" wrapText="1"/>
    </xf>
    <xf numFmtId="0" fontId="10" fillId="6" borderId="2" xfId="0" applyFont="1" applyFill="1" applyBorder="1" applyAlignment="1">
      <alignment horizontal="left" vertical="top" wrapText="1"/>
    </xf>
    <xf numFmtId="0" fontId="10" fillId="6" borderId="2" xfId="0" applyFont="1" applyFill="1" applyBorder="1" applyAlignment="1">
      <alignment horizontal="center" vertical="top" wrapText="1"/>
    </xf>
    <xf numFmtId="0" fontId="10" fillId="6" borderId="2" xfId="0" applyFont="1" applyFill="1" applyBorder="1" applyAlignment="1">
      <alignment horizontal="right" vertical="top" wrapText="1"/>
    </xf>
    <xf numFmtId="2" fontId="10" fillId="6" borderId="2" xfId="0" applyNumberFormat="1" applyFont="1" applyFill="1" applyBorder="1" applyAlignment="1">
      <alignment horizontal="right" vertical="top" wrapText="1"/>
    </xf>
    <xf numFmtId="0" fontId="0" fillId="0" borderId="0" xfId="0"/>
    <xf numFmtId="4" fontId="8" fillId="2" borderId="2" xfId="0" applyNumberFormat="1" applyFont="1" applyFill="1" applyBorder="1" applyAlignment="1">
      <alignment horizontal="right" vertical="top" wrapText="1"/>
    </xf>
    <xf numFmtId="0" fontId="10" fillId="6" borderId="2" xfId="0" applyFont="1" applyFill="1" applyBorder="1" applyAlignment="1">
      <alignment horizontal="left" vertical="top" wrapText="1"/>
    </xf>
    <xf numFmtId="0" fontId="10" fillId="6" borderId="2" xfId="0" applyFont="1" applyFill="1" applyBorder="1" applyAlignment="1">
      <alignment horizontal="center" vertical="top" wrapText="1"/>
    </xf>
    <xf numFmtId="0" fontId="10" fillId="6" borderId="2" xfId="0" applyFont="1" applyFill="1" applyBorder="1" applyAlignment="1">
      <alignment horizontal="right" vertical="top" wrapText="1"/>
    </xf>
    <xf numFmtId="4" fontId="10" fillId="6" borderId="2" xfId="0" applyNumberFormat="1" applyFont="1" applyFill="1" applyBorder="1" applyAlignment="1">
      <alignment horizontal="right" vertical="top" wrapText="1"/>
    </xf>
    <xf numFmtId="165" fontId="10" fillId="6" borderId="2" xfId="0" applyNumberFormat="1" applyFont="1" applyFill="1" applyBorder="1" applyAlignment="1">
      <alignment horizontal="right" vertical="top" wrapText="1"/>
    </xf>
    <xf numFmtId="0" fontId="10" fillId="5" borderId="2" xfId="0" applyFont="1" applyFill="1" applyBorder="1" applyAlignment="1">
      <alignment horizontal="left" vertical="top" wrapText="1"/>
    </xf>
    <xf numFmtId="0" fontId="10" fillId="5" borderId="2" xfId="0" applyFont="1" applyFill="1" applyBorder="1" applyAlignment="1">
      <alignment horizontal="center" vertical="top" wrapText="1"/>
    </xf>
    <xf numFmtId="0" fontId="10" fillId="5" borderId="2" xfId="0" applyFont="1" applyFill="1" applyBorder="1" applyAlignment="1">
      <alignment horizontal="right" vertical="top" wrapText="1"/>
    </xf>
    <xf numFmtId="4" fontId="10" fillId="5" borderId="2" xfId="0" applyNumberFormat="1" applyFont="1" applyFill="1" applyBorder="1" applyAlignment="1">
      <alignment horizontal="right" vertical="top" wrapText="1"/>
    </xf>
    <xf numFmtId="165" fontId="10" fillId="5" borderId="2" xfId="0" applyNumberFormat="1" applyFont="1" applyFill="1" applyBorder="1" applyAlignment="1">
      <alignment horizontal="right" vertical="top" wrapText="1"/>
    </xf>
    <xf numFmtId="0" fontId="0" fillId="0" borderId="0" xfId="0"/>
    <xf numFmtId="0" fontId="11" fillId="3" borderId="2" xfId="0" applyFont="1" applyFill="1" applyBorder="1" applyAlignment="1">
      <alignment horizontal="left" vertical="top" wrapText="1"/>
    </xf>
    <xf numFmtId="0" fontId="10" fillId="6" borderId="2" xfId="0" applyFont="1" applyFill="1" applyBorder="1" applyAlignment="1">
      <alignment horizontal="left" vertical="top" wrapText="1"/>
    </xf>
    <xf numFmtId="0" fontId="11" fillId="7" borderId="0" xfId="0" applyFont="1" applyFill="1" applyAlignment="1">
      <alignment horizontal="right" vertical="top" wrapText="1"/>
    </xf>
    <xf numFmtId="0" fontId="7" fillId="7" borderId="2" xfId="0" applyFont="1" applyFill="1" applyBorder="1" applyAlignment="1">
      <alignment horizontal="left" vertical="top" wrapText="1"/>
    </xf>
    <xf numFmtId="0" fontId="7" fillId="7" borderId="2" xfId="0" applyFont="1" applyFill="1" applyBorder="1" applyAlignment="1">
      <alignment horizontal="right" vertical="top" wrapText="1"/>
    </xf>
    <xf numFmtId="0" fontId="7" fillId="7" borderId="2" xfId="0" applyFont="1" applyFill="1" applyBorder="1" applyAlignment="1">
      <alignment horizontal="center" vertical="top" wrapText="1"/>
    </xf>
    <xf numFmtId="0" fontId="11" fillId="4" borderId="2" xfId="0" applyFont="1" applyFill="1" applyBorder="1" applyAlignment="1">
      <alignment horizontal="left" vertical="top" wrapText="1"/>
    </xf>
    <xf numFmtId="0" fontId="11" fillId="3" borderId="2" xfId="0" applyFont="1" applyFill="1" applyBorder="1" applyAlignment="1">
      <alignment horizontal="left" vertical="top" wrapText="1"/>
    </xf>
    <xf numFmtId="0" fontId="11" fillId="7" borderId="0" xfId="0" applyFont="1" applyFill="1" applyAlignment="1">
      <alignment horizontal="right" vertical="top" wrapText="1"/>
    </xf>
    <xf numFmtId="0" fontId="11" fillId="7" borderId="0" xfId="0" applyFont="1" applyFill="1" applyBorder="1" applyAlignment="1">
      <alignment horizontal="right" vertical="top" wrapText="1"/>
    </xf>
    <xf numFmtId="0" fontId="11" fillId="3" borderId="29" xfId="0" applyFont="1" applyFill="1" applyBorder="1" applyAlignment="1">
      <alignment horizontal="left" vertical="top" wrapText="1"/>
    </xf>
    <xf numFmtId="0" fontId="11" fillId="3" borderId="30" xfId="0" applyFont="1" applyFill="1" applyBorder="1" applyAlignment="1">
      <alignment horizontal="left" vertical="top" wrapText="1"/>
    </xf>
    <xf numFmtId="0" fontId="0" fillId="0" borderId="0" xfId="0"/>
    <xf numFmtId="0" fontId="10" fillId="6" borderId="2" xfId="0" applyFont="1" applyFill="1" applyBorder="1" applyAlignment="1">
      <alignment horizontal="left" vertical="top" wrapText="1"/>
    </xf>
    <xf numFmtId="0" fontId="10" fillId="6" borderId="2" xfId="0" applyFont="1" applyFill="1" applyBorder="1" applyAlignment="1">
      <alignment horizontal="center" vertical="top" wrapText="1"/>
    </xf>
    <xf numFmtId="0" fontId="10" fillId="6" borderId="2" xfId="0" applyFont="1" applyFill="1" applyBorder="1" applyAlignment="1">
      <alignment horizontal="right" vertical="top" wrapText="1"/>
    </xf>
    <xf numFmtId="4" fontId="10" fillId="6" borderId="2" xfId="0" applyNumberFormat="1" applyFont="1" applyFill="1" applyBorder="1" applyAlignment="1">
      <alignment horizontal="right" vertical="top" wrapText="1"/>
    </xf>
    <xf numFmtId="165" fontId="10" fillId="6" borderId="2" xfId="0" applyNumberFormat="1" applyFont="1" applyFill="1" applyBorder="1" applyAlignment="1">
      <alignment horizontal="right" vertical="top" wrapText="1"/>
    </xf>
    <xf numFmtId="0" fontId="0" fillId="0" borderId="0" xfId="0"/>
    <xf numFmtId="0" fontId="10" fillId="6" borderId="2" xfId="0" applyFont="1" applyFill="1" applyBorder="1" applyAlignment="1">
      <alignment horizontal="left" vertical="top" wrapText="1"/>
    </xf>
    <xf numFmtId="0" fontId="10" fillId="6" borderId="2" xfId="0" applyFont="1" applyFill="1" applyBorder="1" applyAlignment="1">
      <alignment horizontal="center" vertical="top" wrapText="1"/>
    </xf>
    <xf numFmtId="0" fontId="10" fillId="6" borderId="2" xfId="0" applyFont="1" applyFill="1" applyBorder="1" applyAlignment="1">
      <alignment horizontal="right" vertical="top" wrapText="1"/>
    </xf>
    <xf numFmtId="166" fontId="10" fillId="6" borderId="2" xfId="0" applyNumberFormat="1" applyFont="1" applyFill="1" applyBorder="1" applyAlignment="1">
      <alignment horizontal="right" vertical="top" wrapText="1"/>
    </xf>
    <xf numFmtId="0" fontId="11" fillId="3" borderId="2" xfId="0" applyFont="1" applyFill="1" applyBorder="1" applyAlignment="1">
      <alignment horizontal="left" vertical="top" wrapText="1"/>
    </xf>
    <xf numFmtId="0" fontId="11" fillId="3" borderId="2" xfId="0" applyFont="1" applyFill="1" applyBorder="1" applyAlignment="1">
      <alignment horizontal="center" vertical="top" wrapText="1"/>
    </xf>
    <xf numFmtId="0" fontId="11" fillId="3" borderId="2" xfId="0" applyFont="1" applyFill="1" applyBorder="1" applyAlignment="1">
      <alignment horizontal="right" vertical="top" wrapText="1"/>
    </xf>
    <xf numFmtId="166" fontId="11" fillId="3" borderId="2" xfId="0" applyNumberFormat="1" applyFont="1" applyFill="1" applyBorder="1" applyAlignment="1">
      <alignment horizontal="right" vertical="top" wrapText="1"/>
    </xf>
    <xf numFmtId="0" fontId="11" fillId="4" borderId="2" xfId="0" applyFont="1" applyFill="1" applyBorder="1" applyAlignment="1">
      <alignment horizontal="left" vertical="top" wrapText="1"/>
    </xf>
    <xf numFmtId="0" fontId="11" fillId="4" borderId="2" xfId="0" applyFont="1" applyFill="1" applyBorder="1" applyAlignment="1">
      <alignment horizontal="center" vertical="top" wrapText="1"/>
    </xf>
    <xf numFmtId="0" fontId="11" fillId="4" borderId="2" xfId="0" applyFont="1" applyFill="1" applyBorder="1" applyAlignment="1">
      <alignment horizontal="right" vertical="top" wrapText="1"/>
    </xf>
    <xf numFmtId="166" fontId="11" fillId="4" borderId="2" xfId="0" applyNumberFormat="1" applyFont="1" applyFill="1" applyBorder="1" applyAlignment="1">
      <alignment horizontal="right" vertical="top" wrapText="1"/>
    </xf>
    <xf numFmtId="0" fontId="10" fillId="6" borderId="2" xfId="0" applyFont="1" applyFill="1" applyBorder="1" applyAlignment="1">
      <alignment horizontal="left" vertical="top" wrapText="1"/>
    </xf>
    <xf numFmtId="0" fontId="10" fillId="6" borderId="2" xfId="0" applyFont="1" applyFill="1" applyBorder="1" applyAlignment="1">
      <alignment horizontal="center" vertical="top" wrapText="1"/>
    </xf>
    <xf numFmtId="0" fontId="10" fillId="6" borderId="2" xfId="0" applyFont="1" applyFill="1" applyBorder="1" applyAlignment="1">
      <alignment horizontal="right" vertical="top" wrapText="1"/>
    </xf>
    <xf numFmtId="4" fontId="10" fillId="6" borderId="2" xfId="0" applyNumberFormat="1" applyFont="1" applyFill="1" applyBorder="1" applyAlignment="1">
      <alignment horizontal="right" vertical="top" wrapText="1"/>
    </xf>
    <xf numFmtId="165" fontId="10" fillId="6" borderId="2" xfId="0" applyNumberFormat="1" applyFont="1" applyFill="1" applyBorder="1" applyAlignment="1">
      <alignment horizontal="right" vertical="top" wrapText="1"/>
    </xf>
    <xf numFmtId="0" fontId="10" fillId="6" borderId="2" xfId="0" applyFont="1" applyFill="1" applyBorder="1" applyAlignment="1">
      <alignment horizontal="left" vertical="top" wrapText="1"/>
    </xf>
    <xf numFmtId="0" fontId="10" fillId="6" borderId="2" xfId="0" applyFont="1" applyFill="1" applyBorder="1" applyAlignment="1">
      <alignment horizontal="center" vertical="top" wrapText="1"/>
    </xf>
    <xf numFmtId="0" fontId="10" fillId="6" borderId="2" xfId="0" applyFont="1" applyFill="1" applyBorder="1" applyAlignment="1">
      <alignment horizontal="right" vertical="top" wrapText="1"/>
    </xf>
    <xf numFmtId="0" fontId="0" fillId="0" borderId="0" xfId="0"/>
    <xf numFmtId="0" fontId="11" fillId="3" borderId="2" xfId="0" applyFont="1" applyFill="1" applyBorder="1" applyAlignment="1">
      <alignment horizontal="left" vertical="top" wrapText="1"/>
    </xf>
    <xf numFmtId="0" fontId="11" fillId="4" borderId="2" xfId="0" applyFont="1" applyFill="1" applyBorder="1" applyAlignment="1">
      <alignment horizontal="left" vertical="top" wrapText="1"/>
    </xf>
    <xf numFmtId="0" fontId="10" fillId="6" borderId="2" xfId="0" applyFont="1" applyFill="1" applyBorder="1" applyAlignment="1">
      <alignment horizontal="left" vertical="top" wrapText="1"/>
    </xf>
    <xf numFmtId="0" fontId="10" fillId="6" borderId="2" xfId="0" applyFont="1" applyFill="1" applyBorder="1" applyAlignment="1">
      <alignment horizontal="center" vertical="top" wrapText="1"/>
    </xf>
    <xf numFmtId="0" fontId="10" fillId="6" borderId="2" xfId="0" applyFont="1" applyFill="1" applyBorder="1" applyAlignment="1">
      <alignment horizontal="right" vertical="top" wrapText="1"/>
    </xf>
    <xf numFmtId="4" fontId="10" fillId="6" borderId="2" xfId="0" applyNumberFormat="1" applyFont="1" applyFill="1" applyBorder="1" applyAlignment="1">
      <alignment horizontal="right" vertical="top" wrapText="1"/>
    </xf>
    <xf numFmtId="165" fontId="10" fillId="6" borderId="2" xfId="0" applyNumberFormat="1" applyFont="1" applyFill="1" applyBorder="1" applyAlignment="1">
      <alignment horizontal="right" vertical="top" wrapText="1"/>
    </xf>
    <xf numFmtId="0" fontId="0" fillId="0" borderId="0" xfId="0"/>
    <xf numFmtId="0" fontId="10" fillId="6" borderId="2" xfId="0" applyFont="1" applyFill="1" applyBorder="1" applyAlignment="1">
      <alignment horizontal="left" vertical="top" wrapText="1"/>
    </xf>
    <xf numFmtId="0" fontId="10" fillId="6" borderId="2" xfId="0" applyFont="1" applyFill="1" applyBorder="1" applyAlignment="1">
      <alignment horizontal="center" vertical="top" wrapText="1"/>
    </xf>
    <xf numFmtId="0" fontId="10" fillId="6" borderId="2" xfId="0" applyFont="1" applyFill="1" applyBorder="1" applyAlignment="1">
      <alignment horizontal="right" vertical="top" wrapText="1"/>
    </xf>
    <xf numFmtId="4" fontId="10" fillId="6" borderId="2" xfId="0" applyNumberFormat="1" applyFont="1" applyFill="1" applyBorder="1" applyAlignment="1">
      <alignment horizontal="right" vertical="top" wrapText="1"/>
    </xf>
    <xf numFmtId="165" fontId="10" fillId="6" borderId="2" xfId="0" applyNumberFormat="1" applyFont="1" applyFill="1" applyBorder="1" applyAlignment="1">
      <alignment horizontal="right" vertical="top" wrapText="1"/>
    </xf>
    <xf numFmtId="10" fontId="66" fillId="11" borderId="60" xfId="33" applyNumberFormat="1" applyFont="1" applyFill="1" applyBorder="1" applyAlignment="1" applyProtection="1">
      <alignment horizontal="center" vertical="center" wrapText="1"/>
      <protection locked="0"/>
    </xf>
    <xf numFmtId="0" fontId="10" fillId="6" borderId="2" xfId="0" applyFont="1" applyFill="1" applyBorder="1" applyAlignment="1">
      <alignment horizontal="left" vertical="top" wrapText="1"/>
    </xf>
    <xf numFmtId="0" fontId="10" fillId="6" borderId="2" xfId="0" applyFont="1" applyFill="1" applyBorder="1" applyAlignment="1">
      <alignment horizontal="center" vertical="top" wrapText="1"/>
    </xf>
    <xf numFmtId="0" fontId="10" fillId="6" borderId="2" xfId="0" applyFont="1" applyFill="1" applyBorder="1" applyAlignment="1">
      <alignment horizontal="right" vertical="top" wrapText="1"/>
    </xf>
    <xf numFmtId="4" fontId="10" fillId="6" borderId="2" xfId="0" applyNumberFormat="1" applyFont="1" applyFill="1" applyBorder="1" applyAlignment="1">
      <alignment horizontal="right" vertical="top" wrapText="1"/>
    </xf>
    <xf numFmtId="0" fontId="0" fillId="0" borderId="0" xfId="0"/>
    <xf numFmtId="0" fontId="0" fillId="0" borderId="0" xfId="0"/>
    <xf numFmtId="0" fontId="10" fillId="6" borderId="2" xfId="0" applyFont="1" applyFill="1" applyBorder="1" applyAlignment="1">
      <alignment horizontal="left" vertical="top" wrapText="1"/>
    </xf>
    <xf numFmtId="0" fontId="7" fillId="7" borderId="2" xfId="0" applyFont="1" applyFill="1" applyBorder="1" applyAlignment="1">
      <alignment horizontal="center" vertical="top" wrapText="1"/>
    </xf>
    <xf numFmtId="0" fontId="7" fillId="7" borderId="2" xfId="0" applyFont="1" applyFill="1" applyBorder="1" applyAlignment="1">
      <alignment horizontal="left" vertical="top" wrapText="1"/>
    </xf>
    <xf numFmtId="0" fontId="7" fillId="7" borderId="2" xfId="0" applyFont="1" applyFill="1" applyBorder="1" applyAlignment="1">
      <alignment horizontal="right" vertical="top" wrapText="1"/>
    </xf>
    <xf numFmtId="0" fontId="0" fillId="0" borderId="0" xfId="0"/>
    <xf numFmtId="0" fontId="11" fillId="3" borderId="2" xfId="0" applyFont="1" applyFill="1" applyBorder="1" applyAlignment="1">
      <alignment horizontal="left" vertical="top" wrapText="1"/>
    </xf>
    <xf numFmtId="0" fontId="11" fillId="4" borderId="2" xfId="0" applyFont="1" applyFill="1" applyBorder="1" applyAlignment="1">
      <alignment horizontal="left" vertical="top" wrapText="1"/>
    </xf>
    <xf numFmtId="0" fontId="10" fillId="6" borderId="2" xfId="0" applyFont="1" applyFill="1" applyBorder="1" applyAlignment="1">
      <alignment horizontal="left" vertical="top" wrapText="1"/>
    </xf>
    <xf numFmtId="0" fontId="11" fillId="7" borderId="0" xfId="0" applyFont="1" applyFill="1" applyAlignment="1">
      <alignment horizontal="right" vertical="top" wrapText="1"/>
    </xf>
    <xf numFmtId="0" fontId="11" fillId="7" borderId="0" xfId="0" applyFont="1" applyFill="1" applyBorder="1" applyAlignment="1">
      <alignment horizontal="right" vertical="top" wrapText="1"/>
    </xf>
    <xf numFmtId="0" fontId="11" fillId="4" borderId="66" xfId="0" applyFont="1" applyFill="1" applyBorder="1" applyAlignment="1">
      <alignment horizontal="left" vertical="top" wrapText="1"/>
    </xf>
    <xf numFmtId="0" fontId="0" fillId="0" borderId="0" xfId="0" applyBorder="1"/>
    <xf numFmtId="0" fontId="11" fillId="4" borderId="66" xfId="0" applyFont="1" applyFill="1" applyBorder="1" applyAlignment="1">
      <alignment horizontal="right" vertical="top" wrapText="1"/>
    </xf>
    <xf numFmtId="0" fontId="11" fillId="4" borderId="66" xfId="0" applyFont="1" applyFill="1" applyBorder="1" applyAlignment="1">
      <alignment horizontal="center" vertical="top" wrapText="1"/>
    </xf>
    <xf numFmtId="4" fontId="11" fillId="7" borderId="0" xfId="0" applyNumberFormat="1" applyFont="1" applyFill="1" applyBorder="1" applyAlignment="1">
      <alignment horizontal="right" vertical="top" wrapText="1"/>
    </xf>
    <xf numFmtId="2" fontId="10" fillId="6" borderId="2" xfId="0" applyNumberFormat="1" applyFont="1" applyFill="1" applyBorder="1" applyAlignment="1">
      <alignment horizontal="center" vertical="center" wrapText="1"/>
    </xf>
    <xf numFmtId="10" fontId="10" fillId="6" borderId="2" xfId="33" applyNumberFormat="1" applyFont="1" applyFill="1" applyBorder="1" applyAlignment="1">
      <alignment horizontal="right" vertical="top" wrapText="1"/>
    </xf>
    <xf numFmtId="0" fontId="0" fillId="0" borderId="0" xfId="0"/>
    <xf numFmtId="0" fontId="7" fillId="7" borderId="2" xfId="0" applyFont="1" applyFill="1" applyBorder="1" applyAlignment="1">
      <alignment horizontal="right" vertical="top" wrapText="1"/>
    </xf>
    <xf numFmtId="0" fontId="10" fillId="6" borderId="2" xfId="0" applyFont="1" applyFill="1" applyBorder="1" applyAlignment="1">
      <alignment horizontal="left" vertical="top" wrapText="1"/>
    </xf>
    <xf numFmtId="0" fontId="10" fillId="6" borderId="2" xfId="0" applyFont="1" applyFill="1" applyBorder="1" applyAlignment="1">
      <alignment horizontal="center" vertical="top" wrapText="1"/>
    </xf>
    <xf numFmtId="0" fontId="10" fillId="6" borderId="2" xfId="0" applyFont="1" applyFill="1" applyBorder="1" applyAlignment="1">
      <alignment horizontal="right" vertical="top" wrapText="1"/>
    </xf>
    <xf numFmtId="4" fontId="10" fillId="6" borderId="2" xfId="0" applyNumberFormat="1" applyFont="1" applyFill="1" applyBorder="1" applyAlignment="1">
      <alignment horizontal="right" vertical="top" wrapText="1"/>
    </xf>
    <xf numFmtId="165" fontId="10" fillId="6" borderId="2" xfId="0" applyNumberFormat="1" applyFont="1" applyFill="1" applyBorder="1" applyAlignment="1">
      <alignment horizontal="right" vertical="top" wrapText="1"/>
    </xf>
    <xf numFmtId="0" fontId="7" fillId="7" borderId="0" xfId="0" applyFont="1" applyFill="1" applyAlignment="1">
      <alignment horizontal="center" wrapText="1"/>
    </xf>
    <xf numFmtId="0" fontId="7" fillId="7" borderId="2" xfId="0" applyFont="1" applyFill="1" applyBorder="1" applyAlignment="1">
      <alignment horizontal="left" vertical="top" wrapText="1"/>
    </xf>
    <xf numFmtId="0" fontId="7" fillId="7" borderId="2" xfId="0" applyFont="1" applyFill="1" applyBorder="1" applyAlignment="1">
      <alignment horizontal="center" vertical="top" wrapText="1"/>
    </xf>
    <xf numFmtId="0" fontId="64" fillId="11" borderId="37" xfId="8" applyFont="1" applyFill="1" applyBorder="1" applyAlignment="1" applyProtection="1">
      <alignment horizontal="right" vertical="center"/>
      <protection locked="0"/>
    </xf>
    <xf numFmtId="174" fontId="64" fillId="11" borderId="41" xfId="8" applyNumberFormat="1" applyFont="1" applyFill="1" applyBorder="1" applyAlignment="1" applyProtection="1">
      <alignment horizontal="right" vertical="center"/>
      <protection locked="0"/>
    </xf>
    <xf numFmtId="174" fontId="66" fillId="11" borderId="41" xfId="8" applyNumberFormat="1" applyFont="1" applyFill="1" applyBorder="1" applyAlignment="1">
      <alignment horizontal="right" vertical="center"/>
    </xf>
    <xf numFmtId="0" fontId="66" fillId="11" borderId="41" xfId="8" applyFont="1" applyFill="1" applyBorder="1" applyAlignment="1">
      <alignment horizontal="right" vertical="center"/>
    </xf>
    <xf numFmtId="167" fontId="66" fillId="11" borderId="64" xfId="25" applyFont="1" applyFill="1" applyBorder="1" applyAlignment="1" applyProtection="1">
      <alignment horizontal="right" vertical="center"/>
      <protection locked="0"/>
    </xf>
    <xf numFmtId="10" fontId="68" fillId="0" borderId="42" xfId="33" quotePrefix="1" applyNumberFormat="1" applyFont="1" applyFill="1" applyBorder="1" applyAlignment="1" applyProtection="1">
      <alignment horizontal="center" vertical="center"/>
    </xf>
    <xf numFmtId="2" fontId="0" fillId="0" borderId="17" xfId="0" applyNumberFormat="1" applyBorder="1"/>
    <xf numFmtId="0" fontId="10" fillId="6" borderId="2" xfId="0" applyFont="1" applyFill="1" applyBorder="1" applyAlignment="1">
      <alignment horizontal="left" vertical="top" wrapText="1"/>
    </xf>
    <xf numFmtId="0" fontId="10" fillId="6" borderId="2" xfId="0" applyFont="1" applyFill="1" applyBorder="1" applyAlignment="1">
      <alignment horizontal="center" vertical="top" wrapText="1"/>
    </xf>
    <xf numFmtId="0" fontId="10" fillId="6" borderId="2" xfId="0" applyFont="1" applyFill="1" applyBorder="1" applyAlignment="1">
      <alignment horizontal="right" vertical="top" wrapText="1"/>
    </xf>
    <xf numFmtId="166" fontId="10" fillId="6" borderId="2" xfId="0" applyNumberFormat="1" applyFont="1" applyFill="1" applyBorder="1" applyAlignment="1">
      <alignment horizontal="right" vertical="top" wrapText="1"/>
    </xf>
    <xf numFmtId="0" fontId="11" fillId="3" borderId="2" xfId="0" applyFont="1" applyFill="1" applyBorder="1" applyAlignment="1">
      <alignment horizontal="left" vertical="top" wrapText="1"/>
    </xf>
    <xf numFmtId="0" fontId="11" fillId="3" borderId="2" xfId="0" applyFont="1" applyFill="1" applyBorder="1" applyAlignment="1">
      <alignment horizontal="center" vertical="top" wrapText="1"/>
    </xf>
    <xf numFmtId="0" fontId="11" fillId="3" borderId="2" xfId="0" applyFont="1" applyFill="1" applyBorder="1" applyAlignment="1">
      <alignment horizontal="right" vertical="top" wrapText="1"/>
    </xf>
    <xf numFmtId="4" fontId="11" fillId="3" borderId="2" xfId="0" applyNumberFormat="1" applyFont="1" applyFill="1" applyBorder="1" applyAlignment="1">
      <alignment horizontal="right" vertical="top" wrapText="1"/>
    </xf>
    <xf numFmtId="166" fontId="11" fillId="3" borderId="2" xfId="0" applyNumberFormat="1" applyFont="1" applyFill="1" applyBorder="1" applyAlignment="1">
      <alignment horizontal="right" vertical="top" wrapText="1"/>
    </xf>
    <xf numFmtId="0" fontId="11" fillId="4" borderId="2" xfId="0" applyFont="1" applyFill="1" applyBorder="1" applyAlignment="1">
      <alignment horizontal="left" vertical="top" wrapText="1"/>
    </xf>
    <xf numFmtId="0" fontId="11" fillId="4" borderId="2" xfId="0" applyFont="1" applyFill="1" applyBorder="1" applyAlignment="1">
      <alignment horizontal="center" vertical="top" wrapText="1"/>
    </xf>
    <xf numFmtId="0" fontId="11" fillId="4" borderId="2" xfId="0" applyFont="1" applyFill="1" applyBorder="1" applyAlignment="1">
      <alignment horizontal="right" vertical="top" wrapText="1"/>
    </xf>
    <xf numFmtId="4" fontId="11" fillId="4" borderId="2" xfId="0" applyNumberFormat="1" applyFont="1" applyFill="1" applyBorder="1" applyAlignment="1">
      <alignment horizontal="right" vertical="top" wrapText="1"/>
    </xf>
    <xf numFmtId="166" fontId="11" fillId="4" borderId="2" xfId="0" applyNumberFormat="1" applyFont="1" applyFill="1" applyBorder="1" applyAlignment="1">
      <alignment horizontal="right" vertical="top" wrapText="1"/>
    </xf>
    <xf numFmtId="0" fontId="11" fillId="7" borderId="0" xfId="0" applyFont="1" applyFill="1" applyAlignment="1">
      <alignment horizontal="right" vertical="top" wrapText="1"/>
    </xf>
    <xf numFmtId="4" fontId="11" fillId="7" borderId="0" xfId="0" applyNumberFormat="1" applyFont="1" applyFill="1" applyAlignment="1">
      <alignment horizontal="right" vertical="top" wrapText="1"/>
    </xf>
    <xf numFmtId="0" fontId="0" fillId="0" borderId="0" xfId="0"/>
    <xf numFmtId="0" fontId="7" fillId="7" borderId="2" xfId="0" applyFont="1" applyFill="1" applyBorder="1" applyAlignment="1">
      <alignment horizontal="right" vertical="top" wrapText="1"/>
    </xf>
    <xf numFmtId="0" fontId="10" fillId="6" borderId="2" xfId="0" applyFont="1" applyFill="1" applyBorder="1" applyAlignment="1">
      <alignment horizontal="left" vertical="top" wrapText="1"/>
    </xf>
    <xf numFmtId="0" fontId="10" fillId="6" borderId="2" xfId="0" applyFont="1" applyFill="1" applyBorder="1" applyAlignment="1">
      <alignment horizontal="center" vertical="top" wrapText="1"/>
    </xf>
    <xf numFmtId="0" fontId="10" fillId="6" borderId="2" xfId="0" applyFont="1" applyFill="1" applyBorder="1" applyAlignment="1">
      <alignment horizontal="right" vertical="top" wrapText="1"/>
    </xf>
    <xf numFmtId="4" fontId="10" fillId="6" borderId="2" xfId="0" applyNumberFormat="1" applyFont="1" applyFill="1" applyBorder="1" applyAlignment="1">
      <alignment horizontal="right" vertical="top" wrapText="1"/>
    </xf>
    <xf numFmtId="165" fontId="10" fillId="6" borderId="2" xfId="0" applyNumberFormat="1" applyFont="1" applyFill="1" applyBorder="1" applyAlignment="1">
      <alignment horizontal="right" vertical="top" wrapText="1"/>
    </xf>
    <xf numFmtId="0" fontId="7" fillId="7" borderId="2" xfId="0" applyFont="1" applyFill="1" applyBorder="1" applyAlignment="1">
      <alignment horizontal="left" vertical="top" wrapText="1"/>
    </xf>
    <xf numFmtId="0" fontId="7" fillId="7" borderId="2" xfId="0" applyFont="1" applyFill="1" applyBorder="1" applyAlignment="1">
      <alignment horizontal="center" vertical="top" wrapText="1"/>
    </xf>
    <xf numFmtId="0" fontId="10" fillId="6" borderId="2" xfId="0" applyFont="1" applyFill="1" applyBorder="1" applyAlignment="1">
      <alignment horizontal="left" vertical="top" wrapText="1"/>
    </xf>
    <xf numFmtId="0" fontId="10" fillId="6" borderId="2" xfId="0" applyFont="1" applyFill="1" applyBorder="1" applyAlignment="1">
      <alignment horizontal="center" vertical="top" wrapText="1"/>
    </xf>
    <xf numFmtId="0" fontId="10" fillId="6" borderId="2" xfId="0" applyFont="1" applyFill="1" applyBorder="1" applyAlignment="1">
      <alignment horizontal="right" vertical="top" wrapText="1"/>
    </xf>
    <xf numFmtId="166" fontId="10" fillId="6" borderId="2" xfId="0" applyNumberFormat="1" applyFont="1" applyFill="1" applyBorder="1" applyAlignment="1">
      <alignment horizontal="right" vertical="top" wrapText="1"/>
    </xf>
    <xf numFmtId="0" fontId="11" fillId="3" borderId="2" xfId="0" applyFont="1" applyFill="1" applyBorder="1" applyAlignment="1">
      <alignment horizontal="left" vertical="top" wrapText="1"/>
    </xf>
    <xf numFmtId="0" fontId="11" fillId="3" borderId="2" xfId="0" applyFont="1" applyFill="1" applyBorder="1" applyAlignment="1">
      <alignment horizontal="center" vertical="top" wrapText="1"/>
    </xf>
    <xf numFmtId="0" fontId="11" fillId="3" borderId="2" xfId="0" applyFont="1" applyFill="1" applyBorder="1" applyAlignment="1">
      <alignment horizontal="right" vertical="top" wrapText="1"/>
    </xf>
    <xf numFmtId="166" fontId="11" fillId="3" borderId="2" xfId="0" applyNumberFormat="1" applyFont="1" applyFill="1" applyBorder="1" applyAlignment="1">
      <alignment horizontal="right" vertical="top" wrapText="1"/>
    </xf>
    <xf numFmtId="0" fontId="0" fillId="0" borderId="0" xfId="0" applyAlignment="1">
      <alignment vertical="top"/>
    </xf>
    <xf numFmtId="0" fontId="9" fillId="7" borderId="0" xfId="0" applyFont="1" applyFill="1" applyAlignment="1">
      <alignment horizontal="left" vertical="top" wrapText="1"/>
    </xf>
    <xf numFmtId="0" fontId="7" fillId="7" borderId="0" xfId="0" applyFont="1" applyFill="1" applyAlignment="1">
      <alignment horizontal="center" wrapText="1"/>
    </xf>
    <xf numFmtId="0" fontId="0" fillId="0" borderId="0" xfId="0"/>
    <xf numFmtId="0" fontId="7" fillId="7" borderId="2" xfId="0" applyFont="1" applyFill="1" applyBorder="1" applyAlignment="1">
      <alignment horizontal="left" vertical="top" wrapText="1"/>
    </xf>
    <xf numFmtId="0" fontId="7" fillId="7" borderId="2" xfId="0" applyFont="1" applyFill="1" applyBorder="1" applyAlignment="1">
      <alignment horizontal="right" vertical="top" wrapText="1"/>
    </xf>
    <xf numFmtId="0" fontId="7" fillId="7" borderId="2" xfId="0" applyFont="1" applyFill="1" applyBorder="1" applyAlignment="1">
      <alignment horizontal="center" vertical="top" wrapText="1"/>
    </xf>
    <xf numFmtId="43" fontId="7" fillId="7" borderId="2" xfId="32" applyFont="1" applyFill="1" applyBorder="1" applyAlignment="1">
      <alignment horizontal="right" vertical="top" wrapText="1"/>
    </xf>
    <xf numFmtId="0" fontId="7" fillId="7" borderId="0" xfId="0" applyFont="1" applyFill="1" applyAlignment="1">
      <alignment horizontal="left" vertical="top" wrapText="1"/>
    </xf>
    <xf numFmtId="0" fontId="11" fillId="7" borderId="0" xfId="0" applyFont="1" applyFill="1" applyAlignment="1">
      <alignment horizontal="center" vertical="top" wrapText="1"/>
    </xf>
    <xf numFmtId="0" fontId="9" fillId="7" borderId="0" xfId="0" applyFont="1" applyFill="1" applyAlignment="1">
      <alignment horizontal="right" vertical="top" wrapText="1"/>
    </xf>
    <xf numFmtId="4" fontId="9" fillId="7" borderId="0" xfId="0" applyNumberFormat="1" applyFont="1" applyFill="1" applyAlignment="1">
      <alignment horizontal="right" vertical="top" wrapText="1"/>
    </xf>
    <xf numFmtId="0" fontId="9" fillId="44" borderId="31" xfId="0" applyFont="1" applyFill="1" applyBorder="1" applyAlignment="1">
      <alignment vertical="top" wrapText="1"/>
    </xf>
    <xf numFmtId="0" fontId="9" fillId="44" borderId="0" xfId="0" applyFont="1" applyFill="1" applyBorder="1" applyAlignment="1">
      <alignment vertical="top" wrapText="1"/>
    </xf>
    <xf numFmtId="0" fontId="9" fillId="44" borderId="0" xfId="0" applyFont="1" applyFill="1" applyBorder="1" applyAlignment="1">
      <alignment horizontal="left" vertical="top" wrapText="1"/>
    </xf>
    <xf numFmtId="0" fontId="7" fillId="7" borderId="29" xfId="0" applyFont="1" applyFill="1" applyBorder="1" applyAlignment="1">
      <alignment horizontal="center" vertical="top" wrapText="1"/>
    </xf>
    <xf numFmtId="0" fontId="7" fillId="7" borderId="30" xfId="0" applyFont="1" applyFill="1" applyBorder="1" applyAlignment="1">
      <alignment horizontal="center" vertical="top" wrapText="1"/>
    </xf>
    <xf numFmtId="172" fontId="9" fillId="44" borderId="0" xfId="0" applyNumberFormat="1" applyFont="1" applyFill="1" applyBorder="1" applyAlignment="1">
      <alignment horizontal="right" vertical="top" wrapText="1"/>
    </xf>
    <xf numFmtId="0" fontId="9" fillId="44" borderId="0" xfId="0" applyFont="1" applyFill="1" applyBorder="1" applyAlignment="1">
      <alignment horizontal="right" vertical="top" wrapText="1"/>
    </xf>
    <xf numFmtId="0" fontId="9" fillId="7" borderId="0" xfId="0" applyFont="1" applyFill="1" applyAlignment="1">
      <alignment horizontal="center" vertical="top" wrapText="1"/>
    </xf>
    <xf numFmtId="0" fontId="63" fillId="11" borderId="36" xfId="8" applyFont="1" applyFill="1" applyBorder="1" applyAlignment="1" applyProtection="1">
      <alignment horizontal="center" vertical="center"/>
      <protection locked="0"/>
    </xf>
    <xf numFmtId="0" fontId="63" fillId="11" borderId="37" xfId="8" applyFont="1" applyFill="1" applyBorder="1" applyAlignment="1" applyProtection="1">
      <alignment horizontal="center" vertical="center"/>
      <protection locked="0"/>
    </xf>
    <xf numFmtId="0" fontId="63" fillId="11" borderId="38" xfId="8" applyFont="1" applyFill="1" applyBorder="1" applyAlignment="1" applyProtection="1">
      <alignment horizontal="center" vertical="center"/>
      <protection locked="0"/>
    </xf>
    <xf numFmtId="0" fontId="63" fillId="11" borderId="17" xfId="8" applyFont="1" applyFill="1" applyBorder="1" applyAlignment="1" applyProtection="1">
      <alignment horizontal="left" vertical="center"/>
      <protection locked="0"/>
    </xf>
    <xf numFmtId="0" fontId="63" fillId="11" borderId="40" xfId="8" applyFont="1" applyFill="1" applyBorder="1" applyAlignment="1" applyProtection="1">
      <alignment horizontal="left" vertical="center"/>
      <protection locked="0"/>
    </xf>
    <xf numFmtId="0" fontId="65" fillId="11" borderId="17" xfId="8" applyFont="1" applyFill="1" applyBorder="1" applyAlignment="1" applyProtection="1">
      <alignment horizontal="left" vertical="center"/>
      <protection locked="0"/>
    </xf>
    <xf numFmtId="0" fontId="65" fillId="11" borderId="40" xfId="8" applyFont="1" applyFill="1" applyBorder="1" applyAlignment="1" applyProtection="1">
      <alignment horizontal="left" vertical="center"/>
      <protection locked="0"/>
    </xf>
    <xf numFmtId="0" fontId="66" fillId="11" borderId="55" xfId="121" applyFont="1" applyFill="1" applyBorder="1" applyAlignment="1" applyProtection="1">
      <alignment horizontal="center" vertical="center"/>
      <protection locked="0"/>
    </xf>
    <xf numFmtId="0" fontId="66" fillId="11" borderId="57" xfId="121" applyFont="1" applyFill="1" applyBorder="1" applyAlignment="1" applyProtection="1">
      <alignment horizontal="center" vertical="center"/>
      <protection locked="0"/>
    </xf>
    <xf numFmtId="0" fontId="66" fillId="11" borderId="19" xfId="19" applyNumberFormat="1" applyFont="1" applyFill="1" applyBorder="1" applyAlignment="1" applyProtection="1">
      <alignment vertical="center" wrapText="1"/>
      <protection locked="0"/>
    </xf>
    <xf numFmtId="0" fontId="66" fillId="11" borderId="18" xfId="19" applyNumberFormat="1" applyFont="1" applyFill="1" applyBorder="1" applyAlignment="1" applyProtection="1">
      <alignment vertical="center" wrapText="1"/>
      <protection locked="0"/>
    </xf>
    <xf numFmtId="0" fontId="65" fillId="11" borderId="58" xfId="8" applyFont="1" applyFill="1" applyBorder="1" applyAlignment="1" applyProtection="1">
      <alignment horizontal="left" vertical="center"/>
      <protection locked="0"/>
    </xf>
    <xf numFmtId="0" fontId="65" fillId="11" borderId="63" xfId="8" applyFont="1" applyFill="1" applyBorder="1" applyAlignment="1" applyProtection="1">
      <alignment horizontal="left" vertical="center"/>
      <protection locked="0"/>
    </xf>
    <xf numFmtId="0" fontId="67" fillId="46" borderId="46" xfId="121" applyFont="1" applyFill="1" applyBorder="1" applyAlignment="1">
      <alignment horizontal="center" vertical="center" wrapText="1"/>
    </xf>
    <xf numFmtId="0" fontId="67" fillId="46" borderId="51" xfId="121" applyFont="1" applyFill="1" applyBorder="1" applyAlignment="1">
      <alignment horizontal="center" vertical="center" wrapText="1"/>
    </xf>
    <xf numFmtId="0" fontId="67" fillId="46" borderId="47" xfId="121" applyFont="1" applyFill="1" applyBorder="1" applyAlignment="1">
      <alignment horizontal="center" vertical="center" wrapText="1"/>
    </xf>
    <xf numFmtId="0" fontId="67" fillId="46" borderId="52" xfId="121" applyFont="1" applyFill="1" applyBorder="1" applyAlignment="1">
      <alignment horizontal="center" vertical="center" wrapText="1"/>
    </xf>
    <xf numFmtId="172" fontId="67" fillId="46" borderId="48" xfId="121" applyNumberFormat="1" applyFont="1" applyFill="1" applyBorder="1" applyAlignment="1">
      <alignment horizontal="center" vertical="center" wrapText="1"/>
    </xf>
    <xf numFmtId="172" fontId="67" fillId="46" borderId="53" xfId="121" applyNumberFormat="1" applyFont="1" applyFill="1" applyBorder="1" applyAlignment="1">
      <alignment horizontal="center" vertical="center" wrapText="1"/>
    </xf>
    <xf numFmtId="167" fontId="65" fillId="44" borderId="50" xfId="122" applyFont="1" applyFill="1" applyBorder="1" applyAlignment="1" applyProtection="1">
      <alignment horizontal="center" vertical="center"/>
      <protection locked="0"/>
    </xf>
    <xf numFmtId="167" fontId="65" fillId="44" borderId="54" xfId="122" applyFont="1" applyFill="1" applyBorder="1" applyAlignment="1" applyProtection="1">
      <alignment horizontal="center" vertical="center"/>
      <protection locked="0"/>
    </xf>
    <xf numFmtId="164" fontId="66" fillId="47" borderId="50" xfId="4" quotePrefix="1" applyFont="1" applyFill="1" applyBorder="1" applyAlignment="1" applyProtection="1">
      <alignment horizontal="center" vertical="center"/>
      <protection locked="0"/>
    </xf>
    <xf numFmtId="164" fontId="66" fillId="47" borderId="59" xfId="4" quotePrefix="1" applyFont="1" applyFill="1" applyBorder="1" applyAlignment="1" applyProtection="1">
      <alignment horizontal="center" vertical="center"/>
      <protection locked="0"/>
    </xf>
    <xf numFmtId="0" fontId="66" fillId="11" borderId="19" xfId="19" applyNumberFormat="1" applyFont="1" applyFill="1" applyBorder="1" applyAlignment="1" applyProtection="1">
      <alignment horizontal="left" vertical="center" wrapText="1"/>
      <protection locked="0"/>
    </xf>
    <xf numFmtId="0" fontId="66" fillId="11" borderId="18" xfId="19" applyNumberFormat="1" applyFont="1" applyFill="1" applyBorder="1" applyAlignment="1" applyProtection="1">
      <alignment horizontal="left" vertical="center" wrapText="1"/>
      <protection locked="0"/>
    </xf>
    <xf numFmtId="0" fontId="10" fillId="6" borderId="29" xfId="0" applyFont="1" applyFill="1" applyBorder="1" applyAlignment="1">
      <alignment horizontal="center" vertical="top" wrapText="1"/>
    </xf>
    <xf numFmtId="0" fontId="10" fillId="6" borderId="30" xfId="0" applyFont="1" applyFill="1" applyBorder="1" applyAlignment="1">
      <alignment horizontal="center" vertical="top" wrapText="1"/>
    </xf>
    <xf numFmtId="0" fontId="11" fillId="3" borderId="2" xfId="0" applyFont="1" applyFill="1" applyBorder="1" applyAlignment="1">
      <alignment horizontal="left" vertical="top" wrapText="1"/>
    </xf>
    <xf numFmtId="0" fontId="11" fillId="4" borderId="2" xfId="0" applyFont="1" applyFill="1" applyBorder="1" applyAlignment="1">
      <alignment horizontal="left" vertical="top" wrapText="1"/>
    </xf>
    <xf numFmtId="0" fontId="7" fillId="7" borderId="29" xfId="0" applyFont="1" applyFill="1" applyBorder="1" applyAlignment="1">
      <alignment horizontal="left" vertical="top" wrapText="1"/>
    </xf>
    <xf numFmtId="0" fontId="7" fillId="7" borderId="30" xfId="0" applyFont="1" applyFill="1" applyBorder="1" applyAlignment="1">
      <alignment horizontal="left" vertical="top" wrapText="1"/>
    </xf>
    <xf numFmtId="0" fontId="10" fillId="6" borderId="2" xfId="0" applyFont="1" applyFill="1" applyBorder="1" applyAlignment="1">
      <alignment horizontal="left" vertical="top" wrapText="1"/>
    </xf>
    <xf numFmtId="0" fontId="11" fillId="4" borderId="66" xfId="0" applyFont="1" applyFill="1" applyBorder="1" applyAlignment="1">
      <alignment horizontal="left" vertical="top" wrapText="1"/>
    </xf>
    <xf numFmtId="0" fontId="11" fillId="7" borderId="70" xfId="0" applyFont="1" applyFill="1" applyBorder="1" applyAlignment="1">
      <alignment horizontal="right" vertical="top" wrapText="1"/>
    </xf>
    <xf numFmtId="0" fontId="11" fillId="7" borderId="0" xfId="0" applyFont="1" applyFill="1" applyAlignment="1">
      <alignment horizontal="right" vertical="top" wrapText="1"/>
    </xf>
    <xf numFmtId="0" fontId="11" fillId="7" borderId="0" xfId="0" applyFont="1" applyFill="1" applyBorder="1" applyAlignment="1">
      <alignment horizontal="right" vertical="top" wrapText="1"/>
    </xf>
    <xf numFmtId="0" fontId="11" fillId="7" borderId="31" xfId="0" applyFont="1" applyFill="1" applyBorder="1" applyAlignment="1">
      <alignment horizontal="center" vertical="top" wrapText="1"/>
    </xf>
    <xf numFmtId="0" fontId="10" fillId="6" borderId="29" xfId="0" applyFont="1" applyFill="1" applyBorder="1" applyAlignment="1">
      <alignment horizontal="left" vertical="top" wrapText="1"/>
    </xf>
    <xf numFmtId="0" fontId="10" fillId="6" borderId="30" xfId="0" applyFont="1" applyFill="1" applyBorder="1" applyAlignment="1">
      <alignment horizontal="left" vertical="top" wrapText="1"/>
    </xf>
    <xf numFmtId="0" fontId="11" fillId="3" borderId="29" xfId="0" applyFont="1" applyFill="1" applyBorder="1" applyAlignment="1">
      <alignment horizontal="left" vertical="top" wrapText="1"/>
    </xf>
    <xf numFmtId="0" fontId="11" fillId="3" borderId="30" xfId="0" applyFont="1" applyFill="1" applyBorder="1" applyAlignment="1">
      <alignment horizontal="left" vertical="top" wrapText="1"/>
    </xf>
    <xf numFmtId="0" fontId="0" fillId="0" borderId="17" xfId="0" applyBorder="1" applyAlignment="1">
      <alignment horizontal="center"/>
    </xf>
    <xf numFmtId="0" fontId="0" fillId="0" borderId="17" xfId="0" applyBorder="1" applyAlignment="1">
      <alignment horizontal="center" wrapText="1"/>
    </xf>
    <xf numFmtId="0" fontId="1" fillId="39" borderId="17" xfId="188" applyBorder="1" applyAlignment="1">
      <alignment horizontal="center"/>
    </xf>
    <xf numFmtId="0" fontId="28" fillId="10" borderId="0" xfId="3" applyFont="1" applyFill="1" applyBorder="1" applyAlignment="1" applyProtection="1">
      <alignment horizontal="center" vertical="center"/>
    </xf>
    <xf numFmtId="0" fontId="15" fillId="10" borderId="0" xfId="2" applyFont="1" applyFill="1" applyBorder="1" applyAlignment="1">
      <alignment horizontal="center" vertical="center" wrapText="1"/>
    </xf>
    <xf numFmtId="0" fontId="20" fillId="0" borderId="3" xfId="2" applyFont="1" applyBorder="1" applyAlignment="1">
      <alignment horizontal="center" vertical="center" wrapText="1"/>
    </xf>
    <xf numFmtId="0" fontId="21" fillId="0" borderId="12" xfId="2" applyFont="1" applyBorder="1" applyAlignment="1">
      <alignment horizontal="center" vertical="center" wrapText="1"/>
    </xf>
    <xf numFmtId="0" fontId="20" fillId="0" borderId="6" xfId="3" applyFont="1" applyBorder="1" applyAlignment="1" applyProtection="1">
      <alignment horizontal="center" vertical="center"/>
    </xf>
    <xf numFmtId="0" fontId="20" fillId="0" borderId="12" xfId="3" applyFont="1" applyFill="1" applyBorder="1" applyAlignment="1" applyProtection="1">
      <alignment horizontal="center" vertical="center"/>
    </xf>
    <xf numFmtId="0" fontId="24" fillId="10" borderId="16" xfId="2" applyFont="1" applyFill="1" applyBorder="1" applyAlignment="1">
      <alignment horizontal="center" vertical="center" wrapText="1"/>
    </xf>
    <xf numFmtId="0" fontId="0" fillId="9" borderId="19" xfId="123" applyFont="1" applyBorder="1" applyAlignment="1">
      <alignment horizontal="center" vertical="center" wrapText="1"/>
    </xf>
    <xf numFmtId="0" fontId="3" fillId="9" borderId="60" xfId="123" applyBorder="1" applyAlignment="1">
      <alignment horizontal="center" vertical="center" wrapText="1"/>
    </xf>
    <xf numFmtId="0" fontId="3" fillId="9" borderId="18" xfId="123" applyBorder="1" applyAlignment="1">
      <alignment horizontal="center" vertical="center" wrapText="1"/>
    </xf>
    <xf numFmtId="0" fontId="12" fillId="8" borderId="17" xfId="1" applyBorder="1" applyAlignment="1">
      <alignment horizontal="center"/>
    </xf>
    <xf numFmtId="0" fontId="49" fillId="0" borderId="69" xfId="124" applyFont="1" applyBorder="1" applyAlignment="1">
      <alignment horizontal="center"/>
    </xf>
    <xf numFmtId="0" fontId="0" fillId="9" borderId="60" xfId="123" applyFont="1" applyBorder="1" applyAlignment="1">
      <alignment horizontal="center" vertical="center" wrapText="1"/>
    </xf>
    <xf numFmtId="0" fontId="0" fillId="9" borderId="18" xfId="123" applyFont="1" applyBorder="1" applyAlignment="1">
      <alignment horizontal="center" vertical="center" wrapText="1"/>
    </xf>
    <xf numFmtId="0" fontId="12" fillId="8" borderId="43" xfId="1" applyBorder="1" applyAlignment="1">
      <alignment horizontal="center"/>
    </xf>
    <xf numFmtId="0" fontId="12" fillId="8" borderId="41" xfId="1" applyBorder="1" applyAlignment="1">
      <alignment horizontal="center"/>
    </xf>
    <xf numFmtId="0" fontId="12" fillId="8" borderId="61" xfId="1" applyBorder="1" applyAlignment="1">
      <alignment horizontal="center"/>
    </xf>
  </cellXfs>
  <cellStyles count="231">
    <cellStyle name="20% - Ênfase1" xfId="50" builtinId="30" customBuiltin="1"/>
    <cellStyle name="20% - Ênfase1 2" xfId="79"/>
    <cellStyle name="20% - Ênfase1 2 2" xfId="195"/>
    <cellStyle name="20% - Ênfase1 2 3" xfId="146"/>
    <cellStyle name="20% - Ênfase1 3" xfId="177"/>
    <cellStyle name="20% - Ênfase1 4" xfId="128"/>
    <cellStyle name="20% - Ênfase2" xfId="54" builtinId="34" customBuiltin="1"/>
    <cellStyle name="20% - Ênfase2 2" xfId="81"/>
    <cellStyle name="20% - Ênfase2 2 2" xfId="197"/>
    <cellStyle name="20% - Ênfase2 2 3" xfId="148"/>
    <cellStyle name="20% - Ênfase2 3" xfId="179"/>
    <cellStyle name="20% - Ênfase2 4" xfId="130"/>
    <cellStyle name="20% - Ênfase3" xfId="58" builtinId="38" customBuiltin="1"/>
    <cellStyle name="20% - Ênfase3 2" xfId="83"/>
    <cellStyle name="20% - Ênfase3 2 2" xfId="199"/>
    <cellStyle name="20% - Ênfase3 2 3" xfId="150"/>
    <cellStyle name="20% - Ênfase3 3" xfId="181"/>
    <cellStyle name="20% - Ênfase3 4" xfId="132"/>
    <cellStyle name="20% - Ênfase4" xfId="62" builtinId="42" customBuiltin="1"/>
    <cellStyle name="20% - Ênfase4 2" xfId="85"/>
    <cellStyle name="20% - Ênfase4 2 2" xfId="201"/>
    <cellStyle name="20% - Ênfase4 2 3" xfId="152"/>
    <cellStyle name="20% - Ênfase4 3" xfId="183"/>
    <cellStyle name="20% - Ênfase4 4" xfId="134"/>
    <cellStyle name="20% - Ênfase5" xfId="66" builtinId="46" customBuiltin="1"/>
    <cellStyle name="20% - Ênfase5 2" xfId="87"/>
    <cellStyle name="20% - Ênfase5 2 2" xfId="203"/>
    <cellStyle name="20% - Ênfase5 2 3" xfId="154"/>
    <cellStyle name="20% - Ênfase5 3" xfId="185"/>
    <cellStyle name="20% - Ênfase5 4" xfId="136"/>
    <cellStyle name="20% - Ênfase6" xfId="123" builtinId="50"/>
    <cellStyle name="20% - Ênfase6 2" xfId="89"/>
    <cellStyle name="20% - Ênfase6 2 2" xfId="205"/>
    <cellStyle name="20% - Ênfase6 2 3" xfId="156"/>
    <cellStyle name="20% - Ênfase6 3" xfId="72"/>
    <cellStyle name="20% - Ênfase6 3 2" xfId="187"/>
    <cellStyle name="20% - Ênfase6 4" xfId="138"/>
    <cellStyle name="40% - Ênfase1" xfId="51" builtinId="31" customBuiltin="1"/>
    <cellStyle name="40% - Ênfase1 2" xfId="80"/>
    <cellStyle name="40% - Ênfase1 2 2" xfId="196"/>
    <cellStyle name="40% - Ênfase1 2 3" xfId="147"/>
    <cellStyle name="40% - Ênfase1 3" xfId="178"/>
    <cellStyle name="40% - Ênfase1 4" xfId="129"/>
    <cellStyle name="40% - Ênfase2" xfId="55" builtinId="35" customBuiltin="1"/>
    <cellStyle name="40% - Ênfase2 2" xfId="82"/>
    <cellStyle name="40% - Ênfase2 2 2" xfId="198"/>
    <cellStyle name="40% - Ênfase2 2 3" xfId="149"/>
    <cellStyle name="40% - Ênfase2 3" xfId="180"/>
    <cellStyle name="40% - Ênfase2 4" xfId="131"/>
    <cellStyle name="40% - Ênfase3" xfId="59" builtinId="39" customBuiltin="1"/>
    <cellStyle name="40% - Ênfase3 2" xfId="84"/>
    <cellStyle name="40% - Ênfase3 2 2" xfId="200"/>
    <cellStyle name="40% - Ênfase3 2 3" xfId="151"/>
    <cellStyle name="40% - Ênfase3 3" xfId="182"/>
    <cellStyle name="40% - Ênfase3 4" xfId="133"/>
    <cellStyle name="40% - Ênfase4" xfId="63" builtinId="43" customBuiltin="1"/>
    <cellStyle name="40% - Ênfase4 2" xfId="86"/>
    <cellStyle name="40% - Ênfase4 2 2" xfId="202"/>
    <cellStyle name="40% - Ênfase4 2 3" xfId="153"/>
    <cellStyle name="40% - Ênfase4 3" xfId="184"/>
    <cellStyle name="40% - Ênfase4 3 2" xfId="93"/>
    <cellStyle name="40% - Ênfase4 3 2 2" xfId="209"/>
    <cellStyle name="40% - Ênfase4 4" xfId="135"/>
    <cellStyle name="40% - Ênfase5" xfId="67" builtinId="47" customBuiltin="1"/>
    <cellStyle name="40% - Ênfase5 2" xfId="88"/>
    <cellStyle name="40% - Ênfase5 2 2" xfId="204"/>
    <cellStyle name="40% - Ênfase5 2 3" xfId="155"/>
    <cellStyle name="40% - Ênfase5 3" xfId="186"/>
    <cellStyle name="40% - Ênfase5 4" xfId="137"/>
    <cellStyle name="40% - Ênfase6" xfId="69" builtinId="51" customBuiltin="1"/>
    <cellStyle name="40% - Ênfase6 2" xfId="90"/>
    <cellStyle name="40% - Ênfase6 2 2" xfId="206"/>
    <cellStyle name="40% - Ênfase6 2 3" xfId="157"/>
    <cellStyle name="40% - Ênfase6 3" xfId="188"/>
    <cellStyle name="40% - Ênfase6 4" xfId="139"/>
    <cellStyle name="60% - Ênfase1" xfId="52" builtinId="32" customBuiltin="1"/>
    <cellStyle name="60% - Ênfase2" xfId="56" builtinId="36" customBuiltin="1"/>
    <cellStyle name="60% - Ênfase3" xfId="60" builtinId="40" customBuiltin="1"/>
    <cellStyle name="60% - Ênfase4" xfId="64" builtinId="44" customBuiltin="1"/>
    <cellStyle name="60% - Ênfase5" xfId="68" builtinId="48" customBuiltin="1"/>
    <cellStyle name="60% - Ênfase6" xfId="70" builtinId="52" customBuiltin="1"/>
    <cellStyle name="Bom" xfId="38" builtinId="26" customBuiltin="1"/>
    <cellStyle name="Cálculo" xfId="43" builtinId="22" customBuiltin="1"/>
    <cellStyle name="Célula de Verificação" xfId="45" builtinId="23" customBuiltin="1"/>
    <cellStyle name="Célula Vinculada" xfId="44" builtinId="24" customBuiltin="1"/>
    <cellStyle name="Ênfase1" xfId="49" builtinId="29" customBuiltin="1"/>
    <cellStyle name="Ênfase2" xfId="53" builtinId="33" customBuiltin="1"/>
    <cellStyle name="Ênfase3" xfId="57" builtinId="37" customBuiltin="1"/>
    <cellStyle name="Ênfase4" xfId="61" builtinId="41" customBuiltin="1"/>
    <cellStyle name="Ênfase5" xfId="65" builtinId="45" customBuiltin="1"/>
    <cellStyle name="Ênfase6" xfId="1" builtinId="49" customBuiltin="1"/>
    <cellStyle name="Entrada" xfId="41" builtinId="20" customBuiltin="1"/>
    <cellStyle name="falta preço" xfId="94"/>
    <cellStyle name="Hiperlink" xfId="126" builtinId="8"/>
    <cellStyle name="Incorreto" xfId="39" builtinId="27" customBuiltin="1"/>
    <cellStyle name="Moeda" xfId="120" builtinId="4"/>
    <cellStyle name="Moeda 2" xfId="4"/>
    <cellStyle name="Moeda 2 2" xfId="5"/>
    <cellStyle name="Moeda 2 3" xfId="98"/>
    <cellStyle name="Moeda 3" xfId="6"/>
    <cellStyle name="Moeda 3 2" xfId="116"/>
    <cellStyle name="Moeda 3 2 2" xfId="227"/>
    <cellStyle name="Moeda 4" xfId="125"/>
    <cellStyle name="Moeda 4 2" xfId="226"/>
    <cellStyle name="Neutra" xfId="40" builtinId="28" customBuiltin="1"/>
    <cellStyle name="Normal" xfId="0" builtinId="0"/>
    <cellStyle name="Normal 10" xfId="124"/>
    <cellStyle name="Normal 11" xfId="7"/>
    <cellStyle name="Normal 12" xfId="127"/>
    <cellStyle name="Normal 14" xfId="99"/>
    <cellStyle name="Normal 14 2" xfId="211"/>
    <cellStyle name="Normal 14 3" xfId="161"/>
    <cellStyle name="Normal 16" xfId="100"/>
    <cellStyle name="Normal 16 2" xfId="212"/>
    <cellStyle name="Normal 16 3" xfId="162"/>
    <cellStyle name="Normal 17" xfId="101"/>
    <cellStyle name="Normal 17 2" xfId="213"/>
    <cellStyle name="Normal 17 3" xfId="163"/>
    <cellStyle name="Normal 18" xfId="102"/>
    <cellStyle name="Normal 18 2" xfId="214"/>
    <cellStyle name="Normal 18 3" xfId="164"/>
    <cellStyle name="Normal 2" xfId="8"/>
    <cellStyle name="Normal 2 2" xfId="9"/>
    <cellStyle name="Normal 2 2 2" xfId="114"/>
    <cellStyle name="Normal 2 2 3" xfId="91"/>
    <cellStyle name="Normal 2 2 3 2" xfId="207"/>
    <cellStyle name="Normal 2 2 4" xfId="121"/>
    <cellStyle name="Normal 2 2 5" xfId="158"/>
    <cellStyle name="Normal 2 3" xfId="10"/>
    <cellStyle name="Normal 2 3 2" xfId="110"/>
    <cellStyle name="Normal 2 3 2 2" xfId="222"/>
    <cellStyle name="Normal 2 3 2 3" xfId="172"/>
    <cellStyle name="Normal 2 4" xfId="73"/>
    <cellStyle name="Normal 2 4 2" xfId="189"/>
    <cellStyle name="Normal 2 5" xfId="140"/>
    <cellStyle name="Normal 21" xfId="95"/>
    <cellStyle name="Normal 21 2" xfId="103"/>
    <cellStyle name="Normal 21 2 2" xfId="215"/>
    <cellStyle name="Normal 21 2 3" xfId="165"/>
    <cellStyle name="Normal 22" xfId="96"/>
    <cellStyle name="Normal 3" xfId="2"/>
    <cellStyle name="Normal 3 2" xfId="11"/>
    <cellStyle name="Normal 3 2 2" xfId="12"/>
    <cellStyle name="Normal 3 3" xfId="13"/>
    <cellStyle name="Normal 3 3 2" xfId="119"/>
    <cellStyle name="Normal 3 3 2 2" xfId="230"/>
    <cellStyle name="Normal 3 3 3" xfId="176"/>
    <cellStyle name="Normal 3 4" xfId="75"/>
    <cellStyle name="Normal 3 4 2" xfId="191"/>
    <cellStyle name="Normal 3 5" xfId="142"/>
    <cellStyle name="Normal 4" xfId="14"/>
    <cellStyle name="Normal 4 2" xfId="77"/>
    <cellStyle name="Normal 4 2 2" xfId="193"/>
    <cellStyle name="Normal 4 3" xfId="144"/>
    <cellStyle name="Normal 5" xfId="15"/>
    <cellStyle name="Normal 5 2" xfId="107"/>
    <cellStyle name="Normal 5 2 2" xfId="219"/>
    <cellStyle name="Normal 5 3" xfId="169"/>
    <cellStyle name="Normal 6" xfId="104"/>
    <cellStyle name="Normal 6 2" xfId="216"/>
    <cellStyle name="Normal 6 3" xfId="166"/>
    <cellStyle name="Normal 7" xfId="16"/>
    <cellStyle name="Normal 7 2" xfId="113"/>
    <cellStyle name="Normal 8" xfId="17"/>
    <cellStyle name="Normal 8 2" xfId="105"/>
    <cellStyle name="Normal 8 2 2" xfId="217"/>
    <cellStyle name="Normal 8 3" xfId="167"/>
    <cellStyle name="Normal 9" xfId="18"/>
    <cellStyle name="Normal 9 2" xfId="117"/>
    <cellStyle name="Normal 9 2 2" xfId="228"/>
    <cellStyle name="Normal 9 3" xfId="174"/>
    <cellStyle name="Nota 2" xfId="74"/>
    <cellStyle name="Nota 2 2" xfId="190"/>
    <cellStyle name="Nota 2 3" xfId="141"/>
    <cellStyle name="Nota 3" xfId="78"/>
    <cellStyle name="Nota 3 2" xfId="194"/>
    <cellStyle name="Nota 3 3" xfId="145"/>
    <cellStyle name="Porcentagem" xfId="33" builtinId="5"/>
    <cellStyle name="Porcentagem 2" xfId="19"/>
    <cellStyle name="Porcentagem 3" xfId="20"/>
    <cellStyle name="Porcentagem 3 2" xfId="109"/>
    <cellStyle name="Porcentagem 3 2 2" xfId="221"/>
    <cellStyle name="Porcentagem 3 3" xfId="171"/>
    <cellStyle name="Porcentagem 4" xfId="21"/>
    <cellStyle name="Saída" xfId="42" builtinId="21" customBuiltin="1"/>
    <cellStyle name="Separador de milhares 14" xfId="97"/>
    <cellStyle name="Separador de milhares 14 2" xfId="210"/>
    <cellStyle name="Separador de milhares 14 3" xfId="160"/>
    <cellStyle name="Separador de milhares 2" xfId="76"/>
    <cellStyle name="Separador de milhares 2 2" xfId="22"/>
    <cellStyle name="Separador de milhares 2 2 2" xfId="23"/>
    <cellStyle name="Separador de milhares 2 2 2 2" xfId="208"/>
    <cellStyle name="Separador de milhares 2 2 3" xfId="92"/>
    <cellStyle name="Separador de milhares 2 2 4" xfId="122"/>
    <cellStyle name="Separador de milhares 2 2 5" xfId="159"/>
    <cellStyle name="Separador de milhares 2 3" xfId="24"/>
    <cellStyle name="Separador de milhares 2 3 2" xfId="118"/>
    <cellStyle name="Separador de milhares 2 3 2 2" xfId="229"/>
    <cellStyle name="Separador de milhares 2 3 3" xfId="175"/>
    <cellStyle name="Separador de milhares 2 4" xfId="192"/>
    <cellStyle name="Separador de milhares 2 5" xfId="143"/>
    <cellStyle name="Texto de Aviso" xfId="46" builtinId="11" customBuiltin="1"/>
    <cellStyle name="Texto Explicativo" xfId="47" builtinId="53" customBuiltin="1"/>
    <cellStyle name="Texto Explicativo 2" xfId="3"/>
    <cellStyle name="Título 1" xfId="34" builtinId="16" customBuiltin="1"/>
    <cellStyle name="Título 2" xfId="35" builtinId="17" customBuiltin="1"/>
    <cellStyle name="Título 3" xfId="36" builtinId="18" customBuiltin="1"/>
    <cellStyle name="Título 4" xfId="37" builtinId="19" customBuiltin="1"/>
    <cellStyle name="Título 5" xfId="71"/>
    <cellStyle name="Total" xfId="48" builtinId="25" customBuiltin="1"/>
    <cellStyle name="Vírgula" xfId="32" builtinId="3"/>
    <cellStyle name="Vírgula 2" xfId="25"/>
    <cellStyle name="Vírgula 2 2" xfId="26"/>
    <cellStyle name="Vírgula 2 2 2" xfId="218"/>
    <cellStyle name="Vírgula 2 3" xfId="27"/>
    <cellStyle name="Vírgula 2 4" xfId="106"/>
    <cellStyle name="Vírgula 2 5" xfId="168"/>
    <cellStyle name="Vírgula 3" xfId="28"/>
    <cellStyle name="Vírgula 3 2" xfId="29"/>
    <cellStyle name="Vírgula 3 2 2" xfId="220"/>
    <cellStyle name="Vírgula 3 3" xfId="108"/>
    <cellStyle name="Vírgula 3 4" xfId="170"/>
    <cellStyle name="Vírgula 4" xfId="30"/>
    <cellStyle name="Vírgula 4 2" xfId="112"/>
    <cellStyle name="Vírgula 4 2 2" xfId="224"/>
    <cellStyle name="Vírgula 4 3" xfId="111"/>
    <cellStyle name="Vírgula 4 3 2" xfId="223"/>
    <cellStyle name="Vírgula 5" xfId="115"/>
    <cellStyle name="Vírgula 5 2" xfId="225"/>
    <cellStyle name="Vírgula 5 3" xfId="173"/>
    <cellStyle name="Vírgula 6" xfId="31"/>
  </cellStyles>
  <dxfs count="26">
    <dxf>
      <font>
        <b/>
        <i val="0"/>
      </font>
    </dxf>
    <dxf>
      <fill>
        <patternFill>
          <bgColor theme="0" tint="-0.14996795556505021"/>
        </patternFill>
      </fill>
    </dxf>
    <dxf>
      <font>
        <color rgb="FF000000"/>
        <name val="Calibri"/>
      </font>
      <numFmt numFmtId="0" formatCode="General"/>
      <fill>
        <patternFill>
          <bgColor rgb="FFFFFFFF"/>
        </patternFill>
      </fill>
    </dxf>
    <dxf>
      <font>
        <color rgb="FF000000"/>
        <name val="Calibri"/>
      </font>
      <numFmt numFmtId="0" formatCode="General"/>
      <fill>
        <patternFill>
          <bgColor rgb="FFFFFFFF"/>
        </patternFill>
      </fill>
    </dxf>
    <dxf>
      <font>
        <color rgb="FF000000"/>
        <name val="Calibri"/>
      </font>
      <numFmt numFmtId="0" formatCode="General"/>
      <fill>
        <patternFill>
          <bgColor rgb="FFFFFFFF"/>
        </patternFill>
      </fill>
    </dxf>
    <dxf>
      <fill>
        <patternFill>
          <bgColor theme="0" tint="-0.14996795556505021"/>
        </patternFill>
      </fill>
    </dxf>
    <dxf>
      <font>
        <b/>
        <i val="0"/>
      </font>
    </dxf>
    <dxf>
      <font>
        <color theme="1"/>
      </font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  <i val="0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b/>
        <i val="0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border>
        <vertical style="thin">
          <color theme="2"/>
        </vertical>
      </border>
    </dxf>
    <dxf>
      <border>
        <vertical style="thin">
          <color theme="2"/>
        </vertical>
      </border>
    </dxf>
    <dxf>
      <font>
        <b/>
        <i val="0"/>
      </font>
      <fill>
        <patternFill>
          <bgColor theme="2"/>
        </patternFill>
      </fill>
      <border>
        <top style="medium">
          <color theme="2" tint="-9.9948118533890809E-2"/>
        </top>
        <vertical style="thin">
          <color theme="2" tint="-9.9948118533890809E-2"/>
        </vertical>
      </border>
    </dxf>
    <dxf>
      <font>
        <b/>
        <i val="0"/>
        <color theme="0"/>
      </font>
      <fill>
        <patternFill>
          <bgColor theme="2" tint="-0.749961851863155"/>
        </patternFill>
      </fill>
      <border>
        <bottom style="medium">
          <color theme="2" tint="-0.499984740745262"/>
        </bottom>
        <vertical style="thin">
          <color theme="2" tint="-0.89996032593768116"/>
        </vertical>
      </border>
    </dxf>
    <dxf>
      <border>
        <bottom style="medium">
          <color theme="2" tint="-0.499984740745262"/>
        </bottom>
        <vertical/>
        <horizontal style="thin">
          <color theme="2" tint="-9.9948118533890809E-2"/>
        </horizontal>
      </border>
    </dxf>
  </dxfs>
  <tableStyles count="1" defaultTableStyle="TableStyleMedium9" defaultPivotStyle="PivotStyleLight16">
    <tableStyle name="Custom Table Style" pivot="0" count="5">
      <tableStyleElement type="wholeTable" dxfId="25"/>
      <tableStyleElement type="headerRow" dxfId="24"/>
      <tableStyleElement type="totalRow" dxfId="23"/>
      <tableStyleElement type="firstRowStripe" dxfId="22"/>
      <tableStyleElement type="secondRowStripe" dxfId="2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7</xdr:col>
      <xdr:colOff>666750</xdr:colOff>
      <xdr:row>38</xdr:row>
      <xdr:rowOff>27747</xdr:rowOff>
    </xdr:to>
    <xdr:pic>
      <xdr:nvPicPr>
        <xdr:cNvPr id="4" name="Imagem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80975"/>
          <a:ext cx="5467350" cy="672382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338145</xdr:colOff>
      <xdr:row>51</xdr:row>
      <xdr:rowOff>53117</xdr:rowOff>
    </xdr:to>
    <xdr:sp macro="" textlink="">
      <xdr:nvSpPr>
        <xdr:cNvPr id="2" name="CustomShape 1" hidden="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/>
      </xdr:nvSpPr>
      <xdr:spPr>
        <a:xfrm>
          <a:off x="0" y="0"/>
          <a:ext cx="9520245" cy="9501917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12</xdr:col>
      <xdr:colOff>443625</xdr:colOff>
      <xdr:row>52</xdr:row>
      <xdr:rowOff>73997</xdr:rowOff>
    </xdr:to>
    <xdr:sp macro="" textlink="">
      <xdr:nvSpPr>
        <xdr:cNvPr id="3" name="CustomShape 1" hidden="1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SpPr/>
      </xdr:nvSpPr>
      <xdr:spPr>
        <a:xfrm>
          <a:off x="0" y="0"/>
          <a:ext cx="9625725" cy="9713297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176719</xdr:colOff>
      <xdr:row>23</xdr:row>
      <xdr:rowOff>80623</xdr:rowOff>
    </xdr:from>
    <xdr:to>
      <xdr:col>4</xdr:col>
      <xdr:colOff>563322</xdr:colOff>
      <xdr:row>30</xdr:row>
      <xdr:rowOff>179983</xdr:rowOff>
    </xdr:to>
    <xdr:pic>
      <xdr:nvPicPr>
        <xdr:cNvPr id="4" name="Imagem 1">
          <a:extLst>
            <a:ext uri="{FF2B5EF4-FFF2-40B4-BE49-F238E27FC236}">
              <a16:creationId xmlns:a16="http://schemas.microsoft.com/office/drawing/2014/main" xmlns="" id="{00000000-0008-0000-0300-000005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757744" y="4281148"/>
          <a:ext cx="3606053" cy="1432860"/>
        </a:xfrm>
        <a:prstGeom prst="rect">
          <a:avLst/>
        </a:prstGeom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2.4.106\spo\5%20PROJOBRA\2%20VARAS%20TRABALHISTAS\JVE_JOINVILLE\2022%20-%20REFORMA%20FACHADA%20TP%204699-2022\1%20-%20DOCUMENTOS\2-%20CONTRATUAIS\2022_REFORMA_JVE_DOC_PROPOSTA%20MAX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OR GLOBAL"/>
      <sheetName val="PLANILHA ORÇAMENTÁRIA"/>
      <sheetName val="SINAPI"/>
      <sheetName val="CRONOGRAMA"/>
      <sheetName val="ADM.OBRA"/>
      <sheetName val="MEM.ARQ"/>
      <sheetName val="COT-ARQ"/>
      <sheetName val="COMP.ARQ"/>
      <sheetName val="COMP.ART"/>
      <sheetName val="COMP.BDI"/>
      <sheetName val="ENC SOCIAIS"/>
      <sheetName val="ABC MATERIAIS"/>
      <sheetName val="ABC MÃO-DE-OBRA"/>
    </sheetNames>
    <sheetDataSet>
      <sheetData sheetId="0"/>
      <sheetData sheetId="1">
        <row r="3">
          <cell r="E3" t="str">
            <v>TRIBUNAL REGIONAL DO TRABALHO 12º REGIÃO/SC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..\..\PROJETOS%20E%20OR&#199;AMENTO\OR&#199;AMENTO\Cota&#231;&#227;o\Totem%20coluna\DCA" TargetMode="External"/><Relationship Id="rId2" Type="http://schemas.openxmlformats.org/officeDocument/2006/relationships/hyperlink" Target="https://dedquality.com.br/produto/gyprex-clean-forro-de-gesso-removivel/" TargetMode="External"/><Relationship Id="rId1" Type="http://schemas.openxmlformats.org/officeDocument/2006/relationships/hyperlink" Target="https://www.terac.com.br/forros-diversos/forro-de-gesso/forro-gesso-removivel-com-pelicula-de-pvc-fgr-625-x-625-x-9-5mm-c-8-pecas-terac" TargetMode="External"/><Relationship Id="rId6" Type="http://schemas.openxmlformats.org/officeDocument/2006/relationships/printerSettings" Target="../printerSettings/printerSettings7.bin"/><Relationship Id="rId5" Type="http://schemas.openxmlformats.org/officeDocument/2006/relationships/hyperlink" Target="https://www.multiseg.com.br/739/caixa-quebre-o-vidro-para-chave-de-emergncia-convencional-ip20-crius?srsltid=AR57-fDoiSVoDkDnEmg4DhKn6kquxJY1ZGPZWqnoDVnaFk0MMy1J5xo0ENk" TargetMode="External"/><Relationship Id="rId4" Type="http://schemas.openxmlformats.org/officeDocument/2006/relationships/hyperlink" Target="https://www.eletrosul.com.br/eletrocalhas/eletrocalha-perfurada-200x050mm-3m-ch22-zincad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G110"/>
  <sheetViews>
    <sheetView tabSelected="1" showOutlineSymbols="0" showWhiteSpace="0" workbookViewId="0">
      <pane ySplit="5" topLeftCell="A6" activePane="bottomLeft" state="frozen"/>
      <selection pane="bottomLeft" activeCell="G7" sqref="G7:H101"/>
    </sheetView>
  </sheetViews>
  <sheetFormatPr defaultColWidth="9" defaultRowHeight="14.25"/>
  <cols>
    <col min="1" max="1" width="10" style="54" bestFit="1" customWidth="1"/>
    <col min="2" max="2" width="16.75" style="54" customWidth="1"/>
    <col min="3" max="3" width="11.125" style="54" customWidth="1"/>
    <col min="4" max="4" width="77" style="54" customWidth="1"/>
    <col min="5" max="5" width="5" style="54" bestFit="1" customWidth="1"/>
    <col min="6" max="6" width="10" style="89" bestFit="1" customWidth="1"/>
    <col min="7" max="8" width="10" style="59" customWidth="1"/>
    <col min="9" max="9" width="11.375" style="59" bestFit="1" customWidth="1"/>
    <col min="10" max="10" width="11.875" style="59" bestFit="1" customWidth="1"/>
    <col min="11" max="13" width="10" style="54" bestFit="1" customWidth="1"/>
    <col min="14" max="16" width="11.875" style="54" bestFit="1" customWidth="1"/>
    <col min="17" max="17" width="13.625" style="54" bestFit="1" customWidth="1"/>
    <col min="18" max="16384" width="9" style="54"/>
  </cols>
  <sheetData>
    <row r="1" spans="1:17" ht="15">
      <c r="A1" s="55" t="s">
        <v>0</v>
      </c>
      <c r="B1" s="55"/>
      <c r="C1" s="55"/>
      <c r="D1" s="253" t="s">
        <v>366</v>
      </c>
      <c r="E1" s="551" t="s">
        <v>367</v>
      </c>
      <c r="F1" s="551"/>
      <c r="G1" s="551"/>
      <c r="H1" s="551"/>
      <c r="I1" s="551"/>
      <c r="J1" s="551"/>
      <c r="K1" s="551" t="s">
        <v>2</v>
      </c>
      <c r="L1" s="551"/>
      <c r="M1" s="551"/>
      <c r="N1" s="551" t="s">
        <v>3</v>
      </c>
      <c r="O1" s="551"/>
      <c r="P1" s="551"/>
      <c r="Q1" s="551"/>
    </row>
    <row r="2" spans="1:17" ht="45" customHeight="1">
      <c r="A2" s="544" t="s">
        <v>365</v>
      </c>
      <c r="B2" s="544"/>
      <c r="C2" s="544"/>
      <c r="D2" s="543" t="s">
        <v>692</v>
      </c>
      <c r="E2" s="544" t="s">
        <v>234</v>
      </c>
      <c r="F2" s="544"/>
      <c r="G2" s="544"/>
      <c r="H2" s="544"/>
      <c r="I2" s="544"/>
      <c r="J2" s="544"/>
      <c r="K2" s="544" t="s">
        <v>5</v>
      </c>
      <c r="L2" s="544"/>
      <c r="M2" s="544"/>
      <c r="N2" s="544" t="s">
        <v>253</v>
      </c>
      <c r="O2" s="544"/>
      <c r="P2" s="544"/>
      <c r="Q2" s="544"/>
    </row>
    <row r="3" spans="1:17" ht="15">
      <c r="A3" s="545" t="s">
        <v>6</v>
      </c>
      <c r="B3" s="546"/>
      <c r="C3" s="546"/>
      <c r="D3" s="546"/>
      <c r="E3" s="546"/>
      <c r="F3" s="546"/>
      <c r="G3" s="546"/>
      <c r="H3" s="546"/>
      <c r="I3" s="546"/>
      <c r="J3" s="546"/>
      <c r="K3" s="546"/>
      <c r="L3" s="546"/>
      <c r="M3" s="546"/>
      <c r="N3" s="546"/>
      <c r="O3" s="546"/>
      <c r="P3" s="546"/>
      <c r="Q3" s="546"/>
    </row>
    <row r="4" spans="1:17" ht="15" customHeight="1">
      <c r="A4" s="547" t="s">
        <v>7</v>
      </c>
      <c r="B4" s="548" t="s">
        <v>8</v>
      </c>
      <c r="C4" s="547" t="s">
        <v>9</v>
      </c>
      <c r="D4" s="547" t="s">
        <v>10</v>
      </c>
      <c r="E4" s="549" t="s">
        <v>11</v>
      </c>
      <c r="F4" s="550" t="s">
        <v>12</v>
      </c>
      <c r="G4" s="558" t="s">
        <v>183</v>
      </c>
      <c r="H4" s="559"/>
      <c r="I4" s="558" t="s">
        <v>188</v>
      </c>
      <c r="J4" s="559"/>
      <c r="K4" s="549" t="s">
        <v>14</v>
      </c>
      <c r="L4" s="547"/>
      <c r="M4" s="547"/>
      <c r="N4" s="549" t="s">
        <v>189</v>
      </c>
      <c r="O4" s="547"/>
      <c r="P4" s="547"/>
      <c r="Q4" s="548" t="s">
        <v>16</v>
      </c>
    </row>
    <row r="5" spans="1:17" ht="15" customHeight="1">
      <c r="A5" s="548"/>
      <c r="B5" s="548"/>
      <c r="C5" s="548"/>
      <c r="D5" s="548"/>
      <c r="E5" s="548"/>
      <c r="F5" s="550"/>
      <c r="G5" s="71" t="s">
        <v>184</v>
      </c>
      <c r="H5" s="72" t="s">
        <v>185</v>
      </c>
      <c r="I5" s="71" t="s">
        <v>184</v>
      </c>
      <c r="J5" s="72" t="s">
        <v>185</v>
      </c>
      <c r="K5" s="49" t="s">
        <v>17</v>
      </c>
      <c r="L5" s="49" t="s">
        <v>18</v>
      </c>
      <c r="M5" s="49" t="s">
        <v>15</v>
      </c>
      <c r="N5" s="71" t="s">
        <v>17</v>
      </c>
      <c r="O5" s="49" t="s">
        <v>18</v>
      </c>
      <c r="P5" s="49" t="s">
        <v>15</v>
      </c>
      <c r="Q5" s="548"/>
    </row>
    <row r="6" spans="1:17" ht="24" customHeight="1">
      <c r="A6" s="69" t="s">
        <v>19</v>
      </c>
      <c r="B6" s="69"/>
      <c r="C6" s="69"/>
      <c r="D6" s="69" t="s">
        <v>20</v>
      </c>
      <c r="E6" s="69"/>
      <c r="F6" s="84"/>
      <c r="G6" s="70"/>
      <c r="H6" s="70"/>
      <c r="I6" s="70"/>
      <c r="J6" s="70"/>
      <c r="K6" s="69"/>
      <c r="L6" s="69"/>
      <c r="M6" s="69"/>
      <c r="N6" s="69"/>
      <c r="O6" s="69"/>
      <c r="P6" s="68">
        <f>SUM(P7:P10)</f>
        <v>0</v>
      </c>
      <c r="Q6" s="106" t="e">
        <f>P6/G104</f>
        <v>#DIV/0!</v>
      </c>
    </row>
    <row r="7" spans="1:17" ht="26.1" customHeight="1">
      <c r="A7" s="67" t="s">
        <v>21</v>
      </c>
      <c r="B7" s="65" t="s">
        <v>22</v>
      </c>
      <c r="C7" s="67" t="s">
        <v>23</v>
      </c>
      <c r="D7" s="67" t="s">
        <v>24</v>
      </c>
      <c r="E7" s="66" t="s">
        <v>25</v>
      </c>
      <c r="F7" s="85">
        <v>1</v>
      </c>
      <c r="G7" s="64"/>
      <c r="H7" s="64"/>
      <c r="I7" s="64">
        <f t="shared" ref="I7:J10" si="0">ROUND((G7*$F7),2)</f>
        <v>0</v>
      </c>
      <c r="J7" s="64">
        <f t="shared" si="0"/>
        <v>0</v>
      </c>
      <c r="K7" s="64">
        <f t="shared" ref="K7:L29" si="1">ROUND((G7*(1+$K$2)),2)</f>
        <v>0</v>
      </c>
      <c r="L7" s="64">
        <f t="shared" si="1"/>
        <v>0</v>
      </c>
      <c r="M7" s="64">
        <f>SUM(K7:L7)</f>
        <v>0</v>
      </c>
      <c r="N7" s="64">
        <f>ROUND((K7*F7),2)</f>
        <v>0</v>
      </c>
      <c r="O7" s="64">
        <f>ROUND((L7*F7),2)</f>
        <v>0</v>
      </c>
      <c r="P7" s="64">
        <f>N7+O7</f>
        <v>0</v>
      </c>
      <c r="Q7" s="63" t="e">
        <f>P7/G104</f>
        <v>#DIV/0!</v>
      </c>
    </row>
    <row r="8" spans="1:17" ht="26.1" customHeight="1">
      <c r="A8" s="56" t="s">
        <v>26</v>
      </c>
      <c r="B8" s="48" t="s">
        <v>201</v>
      </c>
      <c r="C8" s="56" t="s">
        <v>27</v>
      </c>
      <c r="D8" s="56" t="s">
        <v>28</v>
      </c>
      <c r="E8" s="110" t="s">
        <v>208</v>
      </c>
      <c r="F8" s="86">
        <v>4</v>
      </c>
      <c r="G8" s="86"/>
      <c r="H8" s="86"/>
      <c r="I8" s="86">
        <f t="shared" si="0"/>
        <v>0</v>
      </c>
      <c r="J8" s="86">
        <f t="shared" si="0"/>
        <v>0</v>
      </c>
      <c r="K8" s="45">
        <f>ROUND((G8*(1+$K$2)),2)</f>
        <v>0</v>
      </c>
      <c r="L8" s="45">
        <f>ROUND((H8*(1+$K$2)),2)</f>
        <v>0</v>
      </c>
      <c r="M8" s="45">
        <f>SUM(K8:L8)</f>
        <v>0</v>
      </c>
      <c r="N8" s="86">
        <f>ROUND((K8*F8),2)</f>
        <v>0</v>
      </c>
      <c r="O8" s="86">
        <f>ROUND((L8*F8),2)</f>
        <v>0</v>
      </c>
      <c r="P8" s="86">
        <f>N8+O8</f>
        <v>0</v>
      </c>
      <c r="Q8" s="62" t="e">
        <f>P8/$G$104</f>
        <v>#DIV/0!</v>
      </c>
    </row>
    <row r="9" spans="1:17" ht="24" customHeight="1">
      <c r="A9" s="56" t="s">
        <v>30</v>
      </c>
      <c r="B9" s="48" t="s">
        <v>203</v>
      </c>
      <c r="C9" s="56" t="s">
        <v>27</v>
      </c>
      <c r="D9" s="56" t="s">
        <v>31</v>
      </c>
      <c r="E9" s="110" t="s">
        <v>208</v>
      </c>
      <c r="F9" s="86">
        <v>4</v>
      </c>
      <c r="G9" s="86"/>
      <c r="H9" s="86"/>
      <c r="I9" s="86">
        <f t="shared" si="0"/>
        <v>0</v>
      </c>
      <c r="J9" s="86">
        <f t="shared" si="0"/>
        <v>0</v>
      </c>
      <c r="K9" s="45">
        <f t="shared" si="1"/>
        <v>0</v>
      </c>
      <c r="L9" s="45">
        <f t="shared" si="1"/>
        <v>0</v>
      </c>
      <c r="M9" s="45">
        <f>SUM(K9:L9)</f>
        <v>0</v>
      </c>
      <c r="N9" s="86">
        <f>ROUND((K9*F9),2)</f>
        <v>0</v>
      </c>
      <c r="O9" s="86">
        <f>ROUND((L9*F9),2)</f>
        <v>0</v>
      </c>
      <c r="P9" s="86">
        <f>N9+O9</f>
        <v>0</v>
      </c>
      <c r="Q9" s="62" t="e">
        <f>P9/$G$104</f>
        <v>#DIV/0!</v>
      </c>
    </row>
    <row r="10" spans="1:17" s="381" customFormat="1" ht="24" customHeight="1">
      <c r="A10" s="495" t="s">
        <v>466</v>
      </c>
      <c r="B10" s="497" t="s">
        <v>660</v>
      </c>
      <c r="C10" s="495" t="s">
        <v>23</v>
      </c>
      <c r="D10" s="495" t="s">
        <v>615</v>
      </c>
      <c r="E10" s="110" t="s">
        <v>25</v>
      </c>
      <c r="F10" s="86">
        <v>1</v>
      </c>
      <c r="G10" s="498"/>
      <c r="H10" s="86"/>
      <c r="I10" s="498">
        <f t="shared" si="0"/>
        <v>0</v>
      </c>
      <c r="J10" s="86">
        <f t="shared" si="0"/>
        <v>0</v>
      </c>
      <c r="K10" s="498">
        <f t="shared" si="1"/>
        <v>0</v>
      </c>
      <c r="L10" s="498">
        <f t="shared" si="1"/>
        <v>0</v>
      </c>
      <c r="M10" s="498">
        <f>SUM(K10:L10)</f>
        <v>0</v>
      </c>
      <c r="N10" s="498">
        <f>ROUND((K10*F10),2)</f>
        <v>0</v>
      </c>
      <c r="O10" s="86">
        <f>ROUND((L10*F10),2)</f>
        <v>0</v>
      </c>
      <c r="P10" s="86">
        <f>N10+O10</f>
        <v>0</v>
      </c>
      <c r="Q10" s="499" t="e">
        <f>P10/$G$104</f>
        <v>#DIV/0!</v>
      </c>
    </row>
    <row r="11" spans="1:17" ht="24" customHeight="1">
      <c r="A11" s="69" t="s">
        <v>32</v>
      </c>
      <c r="B11" s="69"/>
      <c r="C11" s="69"/>
      <c r="D11" s="69" t="s">
        <v>33</v>
      </c>
      <c r="E11" s="69"/>
      <c r="F11" s="84"/>
      <c r="G11" s="84"/>
      <c r="H11" s="84"/>
      <c r="I11" s="84"/>
      <c r="J11" s="84"/>
      <c r="K11" s="84"/>
      <c r="L11" s="84"/>
      <c r="M11" s="84"/>
      <c r="N11" s="84"/>
      <c r="O11" s="84"/>
      <c r="P11" s="84">
        <f>SUM(P12:P19)</f>
        <v>0</v>
      </c>
      <c r="Q11" s="106" t="e">
        <f>P11/G104</f>
        <v>#DIV/0!</v>
      </c>
    </row>
    <row r="12" spans="1:17" ht="39" customHeight="1">
      <c r="A12" s="56" t="s">
        <v>34</v>
      </c>
      <c r="B12" s="48" t="s">
        <v>227</v>
      </c>
      <c r="C12" s="56" t="s">
        <v>23</v>
      </c>
      <c r="D12" s="56" t="s">
        <v>35</v>
      </c>
      <c r="E12" s="47" t="s">
        <v>36</v>
      </c>
      <c r="F12" s="86">
        <v>1</v>
      </c>
      <c r="G12" s="86"/>
      <c r="H12" s="86"/>
      <c r="I12" s="86">
        <f>ROUND((G12*$F12),2)</f>
        <v>0</v>
      </c>
      <c r="J12" s="86">
        <f>ROUND((H12*$F12),2)</f>
        <v>0</v>
      </c>
      <c r="K12" s="45">
        <f t="shared" si="1"/>
        <v>0</v>
      </c>
      <c r="L12" s="45">
        <f t="shared" si="1"/>
        <v>0</v>
      </c>
      <c r="M12" s="45">
        <f t="shared" ref="M12:M99" si="2">SUM(K12:L12)</f>
        <v>0</v>
      </c>
      <c r="N12" s="86">
        <f t="shared" ref="N12:N19" si="3">ROUND((K12*F12),2)</f>
        <v>0</v>
      </c>
      <c r="O12" s="86">
        <f t="shared" ref="O12:O19" si="4">ROUND((L12*F12),2)</f>
        <v>0</v>
      </c>
      <c r="P12" s="86">
        <f t="shared" ref="P12:P99" si="5">N12+O12</f>
        <v>0</v>
      </c>
      <c r="Q12" s="62" t="e">
        <f t="shared" ref="Q12:Q43" si="6">P12/$G$104</f>
        <v>#DIV/0!</v>
      </c>
    </row>
    <row r="13" spans="1:17" ht="26.1" customHeight="1">
      <c r="A13" s="56" t="s">
        <v>37</v>
      </c>
      <c r="B13" s="48" t="s">
        <v>38</v>
      </c>
      <c r="C13" s="56" t="s">
        <v>27</v>
      </c>
      <c r="D13" s="56" t="s">
        <v>39</v>
      </c>
      <c r="E13" s="47" t="s">
        <v>40</v>
      </c>
      <c r="F13" s="86">
        <v>50</v>
      </c>
      <c r="G13" s="86"/>
      <c r="H13" s="86"/>
      <c r="I13" s="86">
        <f t="shared" ref="I13:I19" si="7">ROUND((G13*$F13),2)</f>
        <v>0</v>
      </c>
      <c r="J13" s="86">
        <f t="shared" ref="J13:J19" si="8">ROUND((H13*$F13),2)</f>
        <v>0</v>
      </c>
      <c r="K13" s="45">
        <f t="shared" si="1"/>
        <v>0</v>
      </c>
      <c r="L13" s="45">
        <f t="shared" si="1"/>
        <v>0</v>
      </c>
      <c r="M13" s="45">
        <f t="shared" si="2"/>
        <v>0</v>
      </c>
      <c r="N13" s="86">
        <f t="shared" si="3"/>
        <v>0</v>
      </c>
      <c r="O13" s="86">
        <f t="shared" si="4"/>
        <v>0</v>
      </c>
      <c r="P13" s="86">
        <f t="shared" si="5"/>
        <v>0</v>
      </c>
      <c r="Q13" s="62" t="e">
        <f t="shared" si="6"/>
        <v>#DIV/0!</v>
      </c>
    </row>
    <row r="14" spans="1:17" s="229" customFormat="1" ht="26.1" customHeight="1">
      <c r="A14" s="230" t="s">
        <v>373</v>
      </c>
      <c r="B14" s="217" t="s">
        <v>354</v>
      </c>
      <c r="C14" s="230" t="s">
        <v>23</v>
      </c>
      <c r="D14" s="230" t="s">
        <v>352</v>
      </c>
      <c r="E14" s="216" t="s">
        <v>41</v>
      </c>
      <c r="F14" s="86">
        <f>6*3</f>
        <v>18</v>
      </c>
      <c r="G14" s="86"/>
      <c r="H14" s="86"/>
      <c r="I14" s="86">
        <f t="shared" ref="I14" si="9">ROUND((G14*$F14),2)</f>
        <v>0</v>
      </c>
      <c r="J14" s="86">
        <f t="shared" ref="J14" si="10">ROUND((H14*$F14),2)</f>
        <v>0</v>
      </c>
      <c r="K14" s="212">
        <f t="shared" ref="K14" si="11">ROUND((G14*(1+$K$2)),2)</f>
        <v>0</v>
      </c>
      <c r="L14" s="212">
        <f t="shared" ref="L14" si="12">ROUND((H14*(1+$K$2)),2)</f>
        <v>0</v>
      </c>
      <c r="M14" s="212">
        <f t="shared" ref="M14" si="13">SUM(K14:L14)</f>
        <v>0</v>
      </c>
      <c r="N14" s="86">
        <f t="shared" ref="N14" si="14">ROUND((K14*F14),2)</f>
        <v>0</v>
      </c>
      <c r="O14" s="86">
        <f t="shared" ref="O14" si="15">ROUND((L14*F14),2)</f>
        <v>0</v>
      </c>
      <c r="P14" s="86">
        <f t="shared" ref="P14" si="16">N14+O14</f>
        <v>0</v>
      </c>
      <c r="Q14" s="213" t="e">
        <f t="shared" si="6"/>
        <v>#DIV/0!</v>
      </c>
    </row>
    <row r="15" spans="1:17" s="229" customFormat="1" ht="26.1" customHeight="1">
      <c r="A15" s="230" t="s">
        <v>375</v>
      </c>
      <c r="B15" s="217" t="s">
        <v>353</v>
      </c>
      <c r="C15" s="230" t="s">
        <v>23</v>
      </c>
      <c r="D15" s="230" t="s">
        <v>361</v>
      </c>
      <c r="E15" s="216" t="s">
        <v>41</v>
      </c>
      <c r="F15" s="86">
        <v>18</v>
      </c>
      <c r="G15" s="86"/>
      <c r="H15" s="86"/>
      <c r="I15" s="86">
        <f t="shared" ref="I15:I16" si="17">ROUND((G15*$F15),2)</f>
        <v>0</v>
      </c>
      <c r="J15" s="86">
        <f t="shared" ref="J15:J16" si="18">ROUND((H15*$F15),2)</f>
        <v>0</v>
      </c>
      <c r="K15" s="212">
        <f t="shared" ref="K15:K16" si="19">ROUND((G15*(1+$K$2)),2)</f>
        <v>0</v>
      </c>
      <c r="L15" s="212">
        <f t="shared" ref="L15:L16" si="20">ROUND((H15*(1+$K$2)),2)</f>
        <v>0</v>
      </c>
      <c r="M15" s="212">
        <f t="shared" ref="M15:M16" si="21">SUM(K15:L15)</f>
        <v>0</v>
      </c>
      <c r="N15" s="86">
        <f t="shared" ref="N15:N16" si="22">ROUND((K15*F15),2)</f>
        <v>0</v>
      </c>
      <c r="O15" s="86">
        <f t="shared" ref="O15:O16" si="23">ROUND((L15*F15),2)</f>
        <v>0</v>
      </c>
      <c r="P15" s="86">
        <f t="shared" ref="P15:P16" si="24">N15+O15</f>
        <v>0</v>
      </c>
      <c r="Q15" s="213" t="e">
        <f t="shared" si="6"/>
        <v>#DIV/0!</v>
      </c>
    </row>
    <row r="16" spans="1:17" ht="30.75" customHeight="1">
      <c r="A16" s="56" t="s">
        <v>376</v>
      </c>
      <c r="B16" s="217" t="s">
        <v>363</v>
      </c>
      <c r="C16" s="230" t="s">
        <v>23</v>
      </c>
      <c r="D16" s="56" t="s">
        <v>362</v>
      </c>
      <c r="E16" s="110" t="s">
        <v>208</v>
      </c>
      <c r="F16" s="86">
        <v>3</v>
      </c>
      <c r="G16" s="86"/>
      <c r="H16" s="86"/>
      <c r="I16" s="86">
        <f t="shared" si="17"/>
        <v>0</v>
      </c>
      <c r="J16" s="86">
        <f t="shared" si="18"/>
        <v>0</v>
      </c>
      <c r="K16" s="212">
        <f t="shared" si="19"/>
        <v>0</v>
      </c>
      <c r="L16" s="212">
        <f t="shared" si="20"/>
        <v>0</v>
      </c>
      <c r="M16" s="212">
        <f t="shared" si="21"/>
        <v>0</v>
      </c>
      <c r="N16" s="86">
        <f t="shared" si="22"/>
        <v>0</v>
      </c>
      <c r="O16" s="86">
        <f t="shared" si="23"/>
        <v>0</v>
      </c>
      <c r="P16" s="86">
        <f t="shared" si="24"/>
        <v>0</v>
      </c>
      <c r="Q16" s="213" t="e">
        <f t="shared" si="6"/>
        <v>#DIV/0!</v>
      </c>
    </row>
    <row r="17" spans="1:17" s="229" customFormat="1" ht="31.5" customHeight="1">
      <c r="A17" s="230" t="s">
        <v>377</v>
      </c>
      <c r="B17" s="217" t="s">
        <v>364</v>
      </c>
      <c r="C17" s="230" t="s">
        <v>349</v>
      </c>
      <c r="D17" s="230" t="s">
        <v>348</v>
      </c>
      <c r="E17" s="216" t="s">
        <v>347</v>
      </c>
      <c r="F17" s="86">
        <v>150</v>
      </c>
      <c r="G17" s="86"/>
      <c r="H17" s="86"/>
      <c r="I17" s="86">
        <f t="shared" si="7"/>
        <v>0</v>
      </c>
      <c r="J17" s="86">
        <f t="shared" si="8"/>
        <v>0</v>
      </c>
      <c r="K17" s="212">
        <f t="shared" si="1"/>
        <v>0</v>
      </c>
      <c r="L17" s="212">
        <f t="shared" si="1"/>
        <v>0</v>
      </c>
      <c r="M17" s="212">
        <f t="shared" si="2"/>
        <v>0</v>
      </c>
      <c r="N17" s="86">
        <f t="shared" si="3"/>
        <v>0</v>
      </c>
      <c r="O17" s="86">
        <f t="shared" si="4"/>
        <v>0</v>
      </c>
      <c r="P17" s="86">
        <f t="shared" si="5"/>
        <v>0</v>
      </c>
      <c r="Q17" s="213" t="e">
        <f>P17/$G$104</f>
        <v>#DIV/0!</v>
      </c>
    </row>
    <row r="18" spans="1:17" s="475" customFormat="1" ht="51">
      <c r="A18" s="476" t="s">
        <v>470</v>
      </c>
      <c r="B18" s="472" t="s">
        <v>623</v>
      </c>
      <c r="C18" s="476" t="s">
        <v>349</v>
      </c>
      <c r="D18" s="476" t="s">
        <v>468</v>
      </c>
      <c r="E18" s="471" t="s">
        <v>469</v>
      </c>
      <c r="F18" s="86">
        <v>8</v>
      </c>
      <c r="G18" s="473"/>
      <c r="H18" s="86"/>
      <c r="I18" s="473">
        <f>ROUND((G18*$F18),2)</f>
        <v>0</v>
      </c>
      <c r="J18" s="86">
        <f t="shared" si="8"/>
        <v>0</v>
      </c>
      <c r="K18" s="473">
        <f>ROUND((G18*(1+$K$2)),2)</f>
        <v>0</v>
      </c>
      <c r="L18" s="473">
        <f>ROUND((H18*(1+$K$2)),2)</f>
        <v>0</v>
      </c>
      <c r="M18" s="473">
        <f t="shared" si="2"/>
        <v>0</v>
      </c>
      <c r="N18" s="473">
        <f t="shared" si="3"/>
        <v>0</v>
      </c>
      <c r="O18" s="86">
        <f t="shared" si="4"/>
        <v>0</v>
      </c>
      <c r="P18" s="86">
        <f t="shared" si="5"/>
        <v>0</v>
      </c>
      <c r="Q18" s="468" t="e">
        <f t="shared" si="6"/>
        <v>#DIV/0!</v>
      </c>
    </row>
    <row r="19" spans="1:17" s="387" customFormat="1" ht="25.5">
      <c r="A19" s="388" t="s">
        <v>473</v>
      </c>
      <c r="B19" s="394" t="s">
        <v>471</v>
      </c>
      <c r="C19" s="392" t="s">
        <v>27</v>
      </c>
      <c r="D19" s="392" t="s">
        <v>472</v>
      </c>
      <c r="E19" s="393" t="s">
        <v>40</v>
      </c>
      <c r="F19" s="86">
        <v>2</v>
      </c>
      <c r="G19" s="397"/>
      <c r="H19" s="397"/>
      <c r="I19" s="86">
        <f t="shared" si="7"/>
        <v>0</v>
      </c>
      <c r="J19" s="86">
        <f t="shared" si="8"/>
        <v>0</v>
      </c>
      <c r="K19" s="390">
        <f t="shared" si="1"/>
        <v>0</v>
      </c>
      <c r="L19" s="390">
        <f t="shared" si="1"/>
        <v>0</v>
      </c>
      <c r="M19" s="390">
        <f t="shared" si="2"/>
        <v>0</v>
      </c>
      <c r="N19" s="86">
        <f t="shared" si="3"/>
        <v>0</v>
      </c>
      <c r="O19" s="86">
        <f t="shared" si="4"/>
        <v>0</v>
      </c>
      <c r="P19" s="86">
        <f t="shared" si="5"/>
        <v>0</v>
      </c>
      <c r="Q19" s="391" t="e">
        <f t="shared" si="6"/>
        <v>#DIV/0!</v>
      </c>
    </row>
    <row r="20" spans="1:17" ht="24" customHeight="1">
      <c r="A20" s="69" t="s">
        <v>42</v>
      </c>
      <c r="B20" s="69"/>
      <c r="C20" s="69"/>
      <c r="D20" s="69" t="s">
        <v>43</v>
      </c>
      <c r="E20" s="69"/>
      <c r="F20" s="84"/>
      <c r="G20" s="84"/>
      <c r="H20" s="84"/>
      <c r="I20" s="84"/>
      <c r="J20" s="84"/>
      <c r="K20" s="84"/>
      <c r="L20" s="84"/>
      <c r="M20" s="84"/>
      <c r="N20" s="84"/>
      <c r="O20" s="84"/>
      <c r="P20" s="84">
        <f>SUM(P21:P25)</f>
        <v>0</v>
      </c>
      <c r="Q20" s="106" t="e">
        <f t="shared" si="6"/>
        <v>#DIV/0!</v>
      </c>
    </row>
    <row r="21" spans="1:17" ht="24" customHeight="1">
      <c r="A21" s="56" t="s">
        <v>44</v>
      </c>
      <c r="B21" s="48">
        <v>97631</v>
      </c>
      <c r="C21" s="230" t="s">
        <v>27</v>
      </c>
      <c r="D21" s="56" t="s">
        <v>647</v>
      </c>
      <c r="E21" s="47" t="s">
        <v>36</v>
      </c>
      <c r="F21" s="86">
        <v>24</v>
      </c>
      <c r="G21" s="86"/>
      <c r="H21" s="86"/>
      <c r="I21" s="86">
        <f t="shared" ref="I21:I99" si="25">ROUND((G21*$F21),2)</f>
        <v>0</v>
      </c>
      <c r="J21" s="86">
        <f t="shared" ref="J21:J99" si="26">ROUND((H21*$F21),2)</f>
        <v>0</v>
      </c>
      <c r="K21" s="45">
        <f t="shared" si="1"/>
        <v>0</v>
      </c>
      <c r="L21" s="45">
        <f t="shared" si="1"/>
        <v>0</v>
      </c>
      <c r="M21" s="45">
        <f t="shared" si="2"/>
        <v>0</v>
      </c>
      <c r="N21" s="86">
        <f>ROUND((K21*F21),2)</f>
        <v>0</v>
      </c>
      <c r="O21" s="86">
        <f>ROUND((L21*F21),2)</f>
        <v>0</v>
      </c>
      <c r="P21" s="86">
        <f>N21+O21</f>
        <v>0</v>
      </c>
      <c r="Q21" s="62" t="e">
        <f t="shared" si="6"/>
        <v>#DIV/0!</v>
      </c>
    </row>
    <row r="22" spans="1:17" ht="26.1" customHeight="1">
      <c r="A22" s="56" t="s">
        <v>45</v>
      </c>
      <c r="B22" s="48" t="s">
        <v>228</v>
      </c>
      <c r="C22" s="56" t="s">
        <v>23</v>
      </c>
      <c r="D22" s="56" t="s">
        <v>648</v>
      </c>
      <c r="E22" s="47" t="s">
        <v>36</v>
      </c>
      <c r="F22" s="86">
        <v>24</v>
      </c>
      <c r="G22" s="86"/>
      <c r="H22" s="86"/>
      <c r="I22" s="86">
        <f t="shared" si="25"/>
        <v>0</v>
      </c>
      <c r="J22" s="86">
        <f t="shared" si="26"/>
        <v>0</v>
      </c>
      <c r="K22" s="45">
        <f t="shared" si="1"/>
        <v>0</v>
      </c>
      <c r="L22" s="45">
        <f t="shared" si="1"/>
        <v>0</v>
      </c>
      <c r="M22" s="45">
        <f t="shared" si="2"/>
        <v>0</v>
      </c>
      <c r="N22" s="86">
        <f t="shared" ref="N22:N94" si="27">ROUND((K22*F22),2)</f>
        <v>0</v>
      </c>
      <c r="O22" s="86">
        <f t="shared" ref="O22:O99" si="28">ROUND((L22*F22),2)</f>
        <v>0</v>
      </c>
      <c r="P22" s="86">
        <f t="shared" si="5"/>
        <v>0</v>
      </c>
      <c r="Q22" s="62" t="e">
        <f t="shared" si="6"/>
        <v>#DIV/0!</v>
      </c>
    </row>
    <row r="23" spans="1:17" ht="26.1" customHeight="1">
      <c r="A23" s="56" t="s">
        <v>46</v>
      </c>
      <c r="B23" s="48" t="s">
        <v>47</v>
      </c>
      <c r="C23" s="56" t="s">
        <v>27</v>
      </c>
      <c r="D23" s="56" t="s">
        <v>48</v>
      </c>
      <c r="E23" s="47" t="s">
        <v>36</v>
      </c>
      <c r="F23" s="86">
        <v>480</v>
      </c>
      <c r="G23" s="45"/>
      <c r="H23" s="45"/>
      <c r="I23" s="86">
        <f>ROUND((G23*$F23),2)</f>
        <v>0</v>
      </c>
      <c r="J23" s="86">
        <f>ROUND((H23*$F23),2)</f>
        <v>0</v>
      </c>
      <c r="K23" s="45">
        <f t="shared" si="1"/>
        <v>0</v>
      </c>
      <c r="L23" s="45">
        <f t="shared" si="1"/>
        <v>0</v>
      </c>
      <c r="M23" s="45">
        <f t="shared" si="2"/>
        <v>0</v>
      </c>
      <c r="N23" s="86">
        <f t="shared" si="27"/>
        <v>0</v>
      </c>
      <c r="O23" s="86">
        <f t="shared" si="28"/>
        <v>0</v>
      </c>
      <c r="P23" s="86">
        <f t="shared" si="5"/>
        <v>0</v>
      </c>
      <c r="Q23" s="62" t="e">
        <f t="shared" si="6"/>
        <v>#DIV/0!</v>
      </c>
    </row>
    <row r="24" spans="1:17" ht="26.1" customHeight="1">
      <c r="A24" s="56" t="s">
        <v>49</v>
      </c>
      <c r="B24" s="48" t="s">
        <v>50</v>
      </c>
      <c r="C24" s="56" t="s">
        <v>27</v>
      </c>
      <c r="D24" s="56" t="s">
        <v>51</v>
      </c>
      <c r="E24" s="47" t="s">
        <v>36</v>
      </c>
      <c r="F24" s="86">
        <v>480</v>
      </c>
      <c r="G24" s="45"/>
      <c r="H24" s="45"/>
      <c r="I24" s="86">
        <f t="shared" si="25"/>
        <v>0</v>
      </c>
      <c r="J24" s="86">
        <f t="shared" si="26"/>
        <v>0</v>
      </c>
      <c r="K24" s="45">
        <f t="shared" si="1"/>
        <v>0</v>
      </c>
      <c r="L24" s="45">
        <f t="shared" si="1"/>
        <v>0</v>
      </c>
      <c r="M24" s="45">
        <f t="shared" si="2"/>
        <v>0</v>
      </c>
      <c r="N24" s="86">
        <f t="shared" si="27"/>
        <v>0</v>
      </c>
      <c r="O24" s="86">
        <f t="shared" si="28"/>
        <v>0</v>
      </c>
      <c r="P24" s="86">
        <f t="shared" si="5"/>
        <v>0</v>
      </c>
      <c r="Q24" s="62" t="e">
        <f t="shared" si="6"/>
        <v>#DIV/0!</v>
      </c>
    </row>
    <row r="25" spans="1:17" s="395" customFormat="1" ht="26.1" customHeight="1">
      <c r="A25" s="396" t="s">
        <v>554</v>
      </c>
      <c r="B25" s="401" t="s">
        <v>474</v>
      </c>
      <c r="C25" s="399" t="s">
        <v>27</v>
      </c>
      <c r="D25" s="399" t="s">
        <v>475</v>
      </c>
      <c r="E25" s="400" t="s">
        <v>36</v>
      </c>
      <c r="F25" s="402">
        <v>31.7</v>
      </c>
      <c r="G25" s="408"/>
      <c r="H25" s="408"/>
      <c r="I25" s="86">
        <f t="shared" si="25"/>
        <v>0</v>
      </c>
      <c r="J25" s="86">
        <f t="shared" si="26"/>
        <v>0</v>
      </c>
      <c r="K25" s="397">
        <f t="shared" si="1"/>
        <v>0</v>
      </c>
      <c r="L25" s="397">
        <f t="shared" si="1"/>
        <v>0</v>
      </c>
      <c r="M25" s="397">
        <f t="shared" si="2"/>
        <v>0</v>
      </c>
      <c r="N25" s="86">
        <f t="shared" si="27"/>
        <v>0</v>
      </c>
      <c r="O25" s="86">
        <f t="shared" si="28"/>
        <v>0</v>
      </c>
      <c r="P25" s="86">
        <f t="shared" si="5"/>
        <v>0</v>
      </c>
      <c r="Q25" s="398" t="e">
        <f t="shared" si="6"/>
        <v>#DIV/0!</v>
      </c>
    </row>
    <row r="26" spans="1:17" ht="24" customHeight="1">
      <c r="A26" s="69" t="s">
        <v>52</v>
      </c>
      <c r="B26" s="69"/>
      <c r="C26" s="69"/>
      <c r="D26" s="69" t="s">
        <v>53</v>
      </c>
      <c r="E26" s="69"/>
      <c r="F26" s="84"/>
      <c r="G26" s="84"/>
      <c r="H26" s="84"/>
      <c r="I26" s="84"/>
      <c r="J26" s="84"/>
      <c r="K26" s="84"/>
      <c r="L26" s="84"/>
      <c r="M26" s="84"/>
      <c r="N26" s="84"/>
      <c r="O26" s="84"/>
      <c r="P26" s="115">
        <f>SUM(P27:P29)</f>
        <v>0</v>
      </c>
      <c r="Q26" s="106" t="e">
        <f t="shared" si="6"/>
        <v>#DIV/0!</v>
      </c>
    </row>
    <row r="27" spans="1:17" ht="39" customHeight="1">
      <c r="A27" s="56" t="s">
        <v>54</v>
      </c>
      <c r="B27" s="48" t="s">
        <v>55</v>
      </c>
      <c r="C27" s="56" t="s">
        <v>27</v>
      </c>
      <c r="D27" s="56" t="s">
        <v>56</v>
      </c>
      <c r="E27" s="47" t="s">
        <v>36</v>
      </c>
      <c r="F27" s="86">
        <v>360</v>
      </c>
      <c r="G27" s="45"/>
      <c r="H27" s="45"/>
      <c r="I27" s="45">
        <f>ROUND((G27*$F27),2)</f>
        <v>0</v>
      </c>
      <c r="J27" s="45">
        <f t="shared" si="26"/>
        <v>0</v>
      </c>
      <c r="K27" s="45">
        <f t="shared" si="1"/>
        <v>0</v>
      </c>
      <c r="L27" s="45">
        <f t="shared" si="1"/>
        <v>0</v>
      </c>
      <c r="M27" s="45">
        <f t="shared" si="2"/>
        <v>0</v>
      </c>
      <c r="N27" s="86">
        <f>ROUND((K27*F27),2)</f>
        <v>0</v>
      </c>
      <c r="O27" s="86">
        <f t="shared" si="28"/>
        <v>0</v>
      </c>
      <c r="P27" s="86">
        <f t="shared" si="5"/>
        <v>0</v>
      </c>
      <c r="Q27" s="62" t="e">
        <f t="shared" si="6"/>
        <v>#DIV/0!</v>
      </c>
    </row>
    <row r="28" spans="1:17" ht="39" customHeight="1">
      <c r="A28" s="56" t="s">
        <v>57</v>
      </c>
      <c r="B28" s="48" t="s">
        <v>58</v>
      </c>
      <c r="C28" s="56" t="s">
        <v>27</v>
      </c>
      <c r="D28" s="56" t="s">
        <v>59</v>
      </c>
      <c r="E28" s="47" t="s">
        <v>36</v>
      </c>
      <c r="F28" s="86">
        <v>360</v>
      </c>
      <c r="G28" s="45"/>
      <c r="H28" s="45"/>
      <c r="I28" s="45">
        <f t="shared" si="25"/>
        <v>0</v>
      </c>
      <c r="J28" s="45">
        <f t="shared" si="26"/>
        <v>0</v>
      </c>
      <c r="K28" s="45">
        <f t="shared" si="1"/>
        <v>0</v>
      </c>
      <c r="L28" s="45">
        <f t="shared" si="1"/>
        <v>0</v>
      </c>
      <c r="M28" s="45">
        <f t="shared" si="2"/>
        <v>0</v>
      </c>
      <c r="N28" s="86">
        <f t="shared" si="27"/>
        <v>0</v>
      </c>
      <c r="O28" s="86">
        <f t="shared" si="28"/>
        <v>0</v>
      </c>
      <c r="P28" s="86">
        <f t="shared" si="5"/>
        <v>0</v>
      </c>
      <c r="Q28" s="62" t="e">
        <f t="shared" si="6"/>
        <v>#DIV/0!</v>
      </c>
    </row>
    <row r="29" spans="1:17" ht="39" customHeight="1">
      <c r="A29" s="56" t="s">
        <v>60</v>
      </c>
      <c r="B29" s="217" t="s">
        <v>378</v>
      </c>
      <c r="C29" s="239" t="s">
        <v>23</v>
      </c>
      <c r="D29" s="239" t="s">
        <v>649</v>
      </c>
      <c r="E29" s="216" t="s">
        <v>40</v>
      </c>
      <c r="F29" s="86">
        <v>160</v>
      </c>
      <c r="G29" s="45"/>
      <c r="H29" s="45"/>
      <c r="I29" s="45">
        <f t="shared" si="25"/>
        <v>0</v>
      </c>
      <c r="J29" s="45">
        <f t="shared" si="26"/>
        <v>0</v>
      </c>
      <c r="K29" s="45">
        <f t="shared" si="1"/>
        <v>0</v>
      </c>
      <c r="L29" s="45">
        <f t="shared" si="1"/>
        <v>0</v>
      </c>
      <c r="M29" s="45">
        <f t="shared" si="2"/>
        <v>0</v>
      </c>
      <c r="N29" s="86">
        <f t="shared" si="27"/>
        <v>0</v>
      </c>
      <c r="O29" s="86">
        <f t="shared" si="28"/>
        <v>0</v>
      </c>
      <c r="P29" s="86">
        <f t="shared" si="5"/>
        <v>0</v>
      </c>
      <c r="Q29" s="62" t="e">
        <f t="shared" si="6"/>
        <v>#DIV/0!</v>
      </c>
    </row>
    <row r="30" spans="1:17" ht="24" customHeight="1">
      <c r="A30" s="69" t="s">
        <v>61</v>
      </c>
      <c r="B30" s="69"/>
      <c r="C30" s="69"/>
      <c r="D30" s="69" t="s">
        <v>62</v>
      </c>
      <c r="E30" s="69"/>
      <c r="F30" s="84"/>
      <c r="G30" s="84"/>
      <c r="H30" s="84"/>
      <c r="I30" s="84"/>
      <c r="J30" s="84"/>
      <c r="K30" s="84"/>
      <c r="L30" s="84"/>
      <c r="M30" s="84"/>
      <c r="N30" s="84"/>
      <c r="O30" s="84"/>
      <c r="P30" s="84">
        <f>SUM(P31:P33)</f>
        <v>0</v>
      </c>
      <c r="Q30" s="106" t="e">
        <f t="shared" si="6"/>
        <v>#DIV/0!</v>
      </c>
    </row>
    <row r="31" spans="1:17" ht="26.1" customHeight="1">
      <c r="A31" s="56" t="s">
        <v>310</v>
      </c>
      <c r="B31" s="48" t="s">
        <v>63</v>
      </c>
      <c r="C31" s="56" t="s">
        <v>27</v>
      </c>
      <c r="D31" s="363" t="s">
        <v>204</v>
      </c>
      <c r="E31" s="383" t="s">
        <v>305</v>
      </c>
      <c r="F31" s="384">
        <v>160</v>
      </c>
      <c r="G31" s="86"/>
      <c r="H31" s="86"/>
      <c r="I31" s="86">
        <f>ROUND((G31*$F31),2)</f>
        <v>0</v>
      </c>
      <c r="J31" s="86">
        <f t="shared" si="26"/>
        <v>0</v>
      </c>
      <c r="K31" s="45">
        <f t="shared" ref="K31:L59" si="29">ROUND((G31*(1+$K$2)),2)</f>
        <v>0</v>
      </c>
      <c r="L31" s="45">
        <f t="shared" si="29"/>
        <v>0</v>
      </c>
      <c r="M31" s="45">
        <f t="shared" si="2"/>
        <v>0</v>
      </c>
      <c r="N31" s="86">
        <f t="shared" si="27"/>
        <v>0</v>
      </c>
      <c r="O31" s="86">
        <f t="shared" si="28"/>
        <v>0</v>
      </c>
      <c r="P31" s="86">
        <f t="shared" si="5"/>
        <v>0</v>
      </c>
      <c r="Q31" s="62" t="e">
        <f t="shared" si="6"/>
        <v>#DIV/0!</v>
      </c>
    </row>
    <row r="32" spans="1:17" s="181" customFormat="1" ht="26.1" customHeight="1">
      <c r="A32" s="183" t="s">
        <v>311</v>
      </c>
      <c r="B32" s="185" t="s">
        <v>327</v>
      </c>
      <c r="C32" s="183" t="s">
        <v>23</v>
      </c>
      <c r="D32" s="363" t="s">
        <v>312</v>
      </c>
      <c r="E32" s="383" t="s">
        <v>36</v>
      </c>
      <c r="F32" s="384">
        <v>360</v>
      </c>
      <c r="G32" s="86"/>
      <c r="H32" s="86"/>
      <c r="I32" s="186">
        <f>ROUND((G32*$F32),2)</f>
        <v>0</v>
      </c>
      <c r="J32" s="186">
        <f t="shared" si="26"/>
        <v>0</v>
      </c>
      <c r="K32" s="186">
        <f t="shared" si="29"/>
        <v>0</v>
      </c>
      <c r="L32" s="186">
        <f t="shared" si="29"/>
        <v>0</v>
      </c>
      <c r="M32" s="186">
        <f t="shared" si="2"/>
        <v>0</v>
      </c>
      <c r="N32" s="186">
        <f t="shared" si="27"/>
        <v>0</v>
      </c>
      <c r="O32" s="186">
        <f t="shared" si="28"/>
        <v>0</v>
      </c>
      <c r="P32" s="186">
        <f t="shared" si="5"/>
        <v>0</v>
      </c>
      <c r="Q32" s="187" t="e">
        <f t="shared" si="6"/>
        <v>#DIV/0!</v>
      </c>
    </row>
    <row r="33" spans="1:33" s="191" customFormat="1" ht="26.1" customHeight="1">
      <c r="A33" s="192" t="s">
        <v>335</v>
      </c>
      <c r="B33" s="211" t="s">
        <v>336</v>
      </c>
      <c r="C33" s="209" t="s">
        <v>27</v>
      </c>
      <c r="D33" s="209" t="s">
        <v>337</v>
      </c>
      <c r="E33" s="210" t="s">
        <v>36</v>
      </c>
      <c r="F33" s="86">
        <v>360</v>
      </c>
      <c r="G33" s="212"/>
      <c r="H33" s="212"/>
      <c r="I33" s="212">
        <f>ROUND((G33*$F33),2)</f>
        <v>0</v>
      </c>
      <c r="J33" s="212">
        <f t="shared" si="26"/>
        <v>0</v>
      </c>
      <c r="K33" s="212">
        <f t="shared" si="29"/>
        <v>0</v>
      </c>
      <c r="L33" s="212">
        <f t="shared" si="29"/>
        <v>0</v>
      </c>
      <c r="M33" s="212">
        <f t="shared" si="2"/>
        <v>0</v>
      </c>
      <c r="N33" s="212">
        <f t="shared" si="27"/>
        <v>0</v>
      </c>
      <c r="O33" s="212">
        <f t="shared" si="28"/>
        <v>0</v>
      </c>
      <c r="P33" s="212">
        <f t="shared" si="5"/>
        <v>0</v>
      </c>
      <c r="Q33" s="213" t="e">
        <f t="shared" si="6"/>
        <v>#DIV/0!</v>
      </c>
    </row>
    <row r="34" spans="1:33" ht="24" customHeight="1">
      <c r="A34" s="69" t="s">
        <v>64</v>
      </c>
      <c r="B34" s="69"/>
      <c r="C34" s="69"/>
      <c r="D34" s="69" t="s">
        <v>65</v>
      </c>
      <c r="E34" s="69"/>
      <c r="F34" s="84"/>
      <c r="G34" s="84"/>
      <c r="H34" s="84"/>
      <c r="I34" s="84"/>
      <c r="J34" s="84"/>
      <c r="K34" s="84"/>
      <c r="L34" s="84"/>
      <c r="M34" s="84"/>
      <c r="N34" s="84"/>
      <c r="O34" s="84"/>
      <c r="P34" s="84">
        <f>SUM(P35:P40)</f>
        <v>0</v>
      </c>
      <c r="Q34" s="106" t="e">
        <f t="shared" si="6"/>
        <v>#DIV/0!</v>
      </c>
    </row>
    <row r="35" spans="1:33" ht="24" customHeight="1">
      <c r="A35" s="56" t="s">
        <v>66</v>
      </c>
      <c r="B35" s="48" t="s">
        <v>229</v>
      </c>
      <c r="C35" s="56" t="s">
        <v>23</v>
      </c>
      <c r="D35" s="56" t="s">
        <v>67</v>
      </c>
      <c r="E35" s="47" t="s">
        <v>36</v>
      </c>
      <c r="F35" s="86">
        <v>667</v>
      </c>
      <c r="G35" s="86"/>
      <c r="H35" s="86"/>
      <c r="I35" s="86">
        <f t="shared" si="25"/>
        <v>0</v>
      </c>
      <c r="J35" s="86">
        <f t="shared" si="26"/>
        <v>0</v>
      </c>
      <c r="K35" s="45">
        <f t="shared" si="29"/>
        <v>0</v>
      </c>
      <c r="L35" s="45">
        <f t="shared" si="29"/>
        <v>0</v>
      </c>
      <c r="M35" s="45">
        <f t="shared" si="2"/>
        <v>0</v>
      </c>
      <c r="N35" s="86">
        <f t="shared" si="27"/>
        <v>0</v>
      </c>
      <c r="O35" s="86">
        <f t="shared" si="28"/>
        <v>0</v>
      </c>
      <c r="P35" s="86">
        <f t="shared" si="5"/>
        <v>0</v>
      </c>
      <c r="Q35" s="62" t="e">
        <f t="shared" si="6"/>
        <v>#DIV/0!</v>
      </c>
    </row>
    <row r="36" spans="1:33" ht="26.1" customHeight="1">
      <c r="A36" s="67" t="s">
        <v>68</v>
      </c>
      <c r="B36" s="65"/>
      <c r="C36" s="67" t="s">
        <v>205</v>
      </c>
      <c r="D36" s="188" t="s">
        <v>328</v>
      </c>
      <c r="E36" s="66" t="s">
        <v>36</v>
      </c>
      <c r="F36" s="85">
        <v>452</v>
      </c>
      <c r="G36" s="64"/>
      <c r="H36" s="64"/>
      <c r="I36" s="64">
        <f t="shared" si="25"/>
        <v>0</v>
      </c>
      <c r="J36" s="64">
        <f t="shared" si="26"/>
        <v>0</v>
      </c>
      <c r="K36" s="64">
        <f t="shared" si="29"/>
        <v>0</v>
      </c>
      <c r="L36" s="64">
        <f t="shared" si="29"/>
        <v>0</v>
      </c>
      <c r="M36" s="64">
        <f t="shared" si="2"/>
        <v>0</v>
      </c>
      <c r="N36" s="64">
        <f t="shared" si="27"/>
        <v>0</v>
      </c>
      <c r="O36" s="64">
        <f t="shared" si="28"/>
        <v>0</v>
      </c>
      <c r="P36" s="64">
        <f t="shared" si="5"/>
        <v>0</v>
      </c>
      <c r="Q36" s="63" t="e">
        <f t="shared" si="6"/>
        <v>#DIV/0!</v>
      </c>
    </row>
    <row r="37" spans="1:33" ht="24" customHeight="1">
      <c r="A37" s="67" t="s">
        <v>70</v>
      </c>
      <c r="B37" s="65"/>
      <c r="C37" s="67" t="s">
        <v>205</v>
      </c>
      <c r="D37" s="67" t="s">
        <v>71</v>
      </c>
      <c r="E37" s="66" t="s">
        <v>36</v>
      </c>
      <c r="F37" s="85">
        <v>24</v>
      </c>
      <c r="G37" s="64"/>
      <c r="H37" s="64"/>
      <c r="I37" s="64">
        <f t="shared" si="25"/>
        <v>0</v>
      </c>
      <c r="J37" s="64">
        <f t="shared" si="26"/>
        <v>0</v>
      </c>
      <c r="K37" s="64">
        <f t="shared" si="29"/>
        <v>0</v>
      </c>
      <c r="L37" s="64">
        <f t="shared" si="29"/>
        <v>0</v>
      </c>
      <c r="M37" s="64">
        <f t="shared" si="2"/>
        <v>0</v>
      </c>
      <c r="N37" s="64">
        <f t="shared" si="27"/>
        <v>0</v>
      </c>
      <c r="O37" s="64">
        <f t="shared" si="28"/>
        <v>0</v>
      </c>
      <c r="P37" s="64">
        <f>N37+O37</f>
        <v>0</v>
      </c>
      <c r="Q37" s="63" t="e">
        <f t="shared" si="6"/>
        <v>#DIV/0!</v>
      </c>
    </row>
    <row r="38" spans="1:33" ht="24" customHeight="1">
      <c r="A38" s="56" t="s">
        <v>72</v>
      </c>
      <c r="B38" s="48" t="s">
        <v>230</v>
      </c>
      <c r="C38" s="56" t="s">
        <v>23</v>
      </c>
      <c r="D38" s="56" t="s">
        <v>73</v>
      </c>
      <c r="E38" s="47" t="s">
        <v>36</v>
      </c>
      <c r="F38" s="86">
        <v>195</v>
      </c>
      <c r="G38" s="86"/>
      <c r="H38" s="86"/>
      <c r="I38" s="86">
        <f t="shared" si="25"/>
        <v>0</v>
      </c>
      <c r="J38" s="86">
        <f t="shared" si="26"/>
        <v>0</v>
      </c>
      <c r="K38" s="45">
        <f t="shared" si="29"/>
        <v>0</v>
      </c>
      <c r="L38" s="45">
        <f t="shared" si="29"/>
        <v>0</v>
      </c>
      <c r="M38" s="45">
        <f t="shared" si="2"/>
        <v>0</v>
      </c>
      <c r="N38" s="86">
        <f t="shared" si="27"/>
        <v>0</v>
      </c>
      <c r="O38" s="86">
        <f t="shared" si="28"/>
        <v>0</v>
      </c>
      <c r="P38" s="86">
        <f t="shared" si="5"/>
        <v>0</v>
      </c>
      <c r="Q38" s="62" t="e">
        <f t="shared" si="6"/>
        <v>#DIV/0!</v>
      </c>
    </row>
    <row r="39" spans="1:33" ht="26.1" customHeight="1">
      <c r="A39" s="67" t="s">
        <v>74</v>
      </c>
      <c r="B39" s="65"/>
      <c r="C39" s="67" t="s">
        <v>205</v>
      </c>
      <c r="D39" s="67" t="s">
        <v>75</v>
      </c>
      <c r="E39" s="66" t="s">
        <v>25</v>
      </c>
      <c r="F39" s="85">
        <v>25</v>
      </c>
      <c r="G39" s="64"/>
      <c r="H39" s="64"/>
      <c r="I39" s="64">
        <f t="shared" si="25"/>
        <v>0</v>
      </c>
      <c r="J39" s="64">
        <f t="shared" si="26"/>
        <v>0</v>
      </c>
      <c r="K39" s="64">
        <f t="shared" si="29"/>
        <v>0</v>
      </c>
      <c r="L39" s="64">
        <f t="shared" si="29"/>
        <v>0</v>
      </c>
      <c r="M39" s="64">
        <f t="shared" si="2"/>
        <v>0</v>
      </c>
      <c r="N39" s="64">
        <f t="shared" si="27"/>
        <v>0</v>
      </c>
      <c r="O39" s="64">
        <f t="shared" si="28"/>
        <v>0</v>
      </c>
      <c r="P39" s="64">
        <f t="shared" si="5"/>
        <v>0</v>
      </c>
      <c r="Q39" s="63" t="e">
        <f t="shared" si="6"/>
        <v>#DIV/0!</v>
      </c>
    </row>
    <row r="40" spans="1:33" s="191" customFormat="1" ht="26.1" customHeight="1">
      <c r="A40" s="483" t="s">
        <v>331</v>
      </c>
      <c r="B40" s="472" t="s">
        <v>629</v>
      </c>
      <c r="C40" s="483" t="s">
        <v>23</v>
      </c>
      <c r="D40" s="483" t="s">
        <v>655</v>
      </c>
      <c r="E40" s="471" t="s">
        <v>25</v>
      </c>
      <c r="F40" s="86">
        <v>27</v>
      </c>
      <c r="G40" s="473"/>
      <c r="H40" s="86"/>
      <c r="I40" s="473">
        <f>ROUND((G40*$F40),2)</f>
        <v>0</v>
      </c>
      <c r="J40" s="86">
        <f t="shared" si="26"/>
        <v>0</v>
      </c>
      <c r="K40" s="473">
        <f t="shared" si="29"/>
        <v>0</v>
      </c>
      <c r="L40" s="473">
        <f t="shared" si="29"/>
        <v>0</v>
      </c>
      <c r="M40" s="473">
        <f t="shared" si="2"/>
        <v>0</v>
      </c>
      <c r="N40" s="402">
        <f t="shared" si="27"/>
        <v>0</v>
      </c>
      <c r="O40" s="472">
        <f t="shared" si="28"/>
        <v>0</v>
      </c>
      <c r="P40" s="472">
        <f t="shared" si="5"/>
        <v>0</v>
      </c>
      <c r="Q40" s="492" t="e">
        <f t="shared" si="6"/>
        <v>#DIV/0!</v>
      </c>
      <c r="R40" s="480"/>
      <c r="S40" s="480"/>
      <c r="T40" s="480"/>
      <c r="U40" s="480"/>
      <c r="V40" s="480"/>
      <c r="W40" s="480"/>
      <c r="X40" s="480"/>
      <c r="Y40" s="480"/>
      <c r="Z40" s="480"/>
      <c r="AA40" s="480"/>
      <c r="AB40" s="480"/>
      <c r="AC40" s="480"/>
      <c r="AD40" s="480"/>
      <c r="AE40" s="480"/>
      <c r="AF40" s="480"/>
      <c r="AG40" s="480"/>
    </row>
    <row r="41" spans="1:33" ht="24" customHeight="1">
      <c r="A41" s="69" t="s">
        <v>76</v>
      </c>
      <c r="B41" s="69"/>
      <c r="C41" s="69"/>
      <c r="D41" s="69" t="s">
        <v>555</v>
      </c>
      <c r="E41" s="69"/>
      <c r="F41" s="84"/>
      <c r="G41" s="84"/>
      <c r="H41" s="84"/>
      <c r="I41" s="84"/>
      <c r="J41" s="84"/>
      <c r="K41" s="84"/>
      <c r="L41" s="84"/>
      <c r="M41" s="84"/>
      <c r="N41" s="84"/>
      <c r="O41" s="84"/>
      <c r="P41" s="84">
        <f>SUM(P42:P55)</f>
        <v>0</v>
      </c>
      <c r="Q41" s="106" t="e">
        <f t="shared" si="6"/>
        <v>#DIV/0!</v>
      </c>
    </row>
    <row r="42" spans="1:33" ht="26.1" customHeight="1">
      <c r="A42" s="56" t="s">
        <v>77</v>
      </c>
      <c r="B42" s="48" t="s">
        <v>221</v>
      </c>
      <c r="C42" s="325" t="s">
        <v>23</v>
      </c>
      <c r="D42" s="56" t="s">
        <v>434</v>
      </c>
      <c r="E42" s="47" t="s">
        <v>25</v>
      </c>
      <c r="F42" s="86">
        <v>18</v>
      </c>
      <c r="G42" s="86"/>
      <c r="H42" s="86"/>
      <c r="I42" s="86">
        <f>ROUND((G42*$F42),2)</f>
        <v>0</v>
      </c>
      <c r="J42" s="86">
        <f>ROUND((H42*$F42),2)</f>
        <v>0</v>
      </c>
      <c r="K42" s="86">
        <f t="shared" si="29"/>
        <v>0</v>
      </c>
      <c r="L42" s="86">
        <f t="shared" si="29"/>
        <v>0</v>
      </c>
      <c r="M42" s="86">
        <f t="shared" si="2"/>
        <v>0</v>
      </c>
      <c r="N42" s="45">
        <f t="shared" si="27"/>
        <v>0</v>
      </c>
      <c r="O42" s="45">
        <f t="shared" si="28"/>
        <v>0</v>
      </c>
      <c r="P42" s="45">
        <f t="shared" si="5"/>
        <v>0</v>
      </c>
      <c r="Q42" s="62" t="e">
        <f t="shared" si="6"/>
        <v>#DIV/0!</v>
      </c>
    </row>
    <row r="43" spans="1:33" ht="39" customHeight="1">
      <c r="A43" s="56" t="s">
        <v>78</v>
      </c>
      <c r="B43" s="319" t="s">
        <v>431</v>
      </c>
      <c r="C43" s="317" t="s">
        <v>27</v>
      </c>
      <c r="D43" s="317" t="s">
        <v>432</v>
      </c>
      <c r="E43" s="47" t="s">
        <v>25</v>
      </c>
      <c r="F43" s="86">
        <v>2</v>
      </c>
      <c r="G43" s="327"/>
      <c r="H43" s="327"/>
      <c r="I43" s="86">
        <f t="shared" si="25"/>
        <v>0</v>
      </c>
      <c r="J43" s="86">
        <f t="shared" si="26"/>
        <v>0</v>
      </c>
      <c r="K43" s="86">
        <f t="shared" si="29"/>
        <v>0</v>
      </c>
      <c r="L43" s="86">
        <f t="shared" si="29"/>
        <v>0</v>
      </c>
      <c r="M43" s="86">
        <f t="shared" si="2"/>
        <v>0</v>
      </c>
      <c r="N43" s="45">
        <f t="shared" si="27"/>
        <v>0</v>
      </c>
      <c r="O43" s="45">
        <f t="shared" si="28"/>
        <v>0</v>
      </c>
      <c r="P43" s="45">
        <f t="shared" si="5"/>
        <v>0</v>
      </c>
      <c r="Q43" s="62" t="e">
        <f t="shared" si="6"/>
        <v>#DIV/0!</v>
      </c>
      <c r="AG43" s="480"/>
    </row>
    <row r="44" spans="1:33" s="237" customFormat="1" ht="39" customHeight="1">
      <c r="A44" s="239" t="s">
        <v>392</v>
      </c>
      <c r="B44" s="217" t="s">
        <v>393</v>
      </c>
      <c r="C44" s="239" t="s">
        <v>27</v>
      </c>
      <c r="D44" s="239" t="s">
        <v>394</v>
      </c>
      <c r="E44" s="216" t="s">
        <v>36</v>
      </c>
      <c r="F44" s="86">
        <v>2</v>
      </c>
      <c r="G44" s="212"/>
      <c r="H44" s="212"/>
      <c r="I44" s="212">
        <f>ROUND((G44*$F44),2)</f>
        <v>0</v>
      </c>
      <c r="J44" s="212">
        <f>ROUND((H44*$F44),2)</f>
        <v>0</v>
      </c>
      <c r="K44" s="212">
        <f>ROUND((G44*(1+$K$2)),2)</f>
        <v>0</v>
      </c>
      <c r="L44" s="212">
        <f>ROUND((H44*(1+$K$2)),2)</f>
        <v>0</v>
      </c>
      <c r="M44" s="212">
        <f>SUM(K44:L44)</f>
        <v>0</v>
      </c>
      <c r="N44" s="212">
        <f>ROUND((K44*F44),2)</f>
        <v>0</v>
      </c>
      <c r="O44" s="212">
        <f>ROUND((L44*F44),2)</f>
        <v>0</v>
      </c>
      <c r="P44" s="212">
        <f t="shared" si="5"/>
        <v>0</v>
      </c>
      <c r="Q44" s="213" t="e">
        <f t="shared" ref="Q44:Q75" si="30">P44/$G$104</f>
        <v>#DIV/0!</v>
      </c>
    </row>
    <row r="45" spans="1:33" s="237" customFormat="1" ht="39" customHeight="1">
      <c r="A45" s="239" t="s">
        <v>395</v>
      </c>
      <c r="B45" s="217" t="s">
        <v>396</v>
      </c>
      <c r="C45" s="239" t="s">
        <v>27</v>
      </c>
      <c r="D45" s="239" t="s">
        <v>397</v>
      </c>
      <c r="E45" s="216" t="s">
        <v>36</v>
      </c>
      <c r="F45" s="86">
        <v>2</v>
      </c>
      <c r="G45" s="212"/>
      <c r="H45" s="212"/>
      <c r="I45" s="212">
        <f>ROUND((F45*G45),2)</f>
        <v>0</v>
      </c>
      <c r="J45" s="212">
        <f>ROUND((H45*$F45),2)</f>
        <v>0</v>
      </c>
      <c r="K45" s="212">
        <f t="shared" si="29"/>
        <v>0</v>
      </c>
      <c r="L45" s="212">
        <f>ROUND((H45*(1+$K$2)),2)</f>
        <v>0</v>
      </c>
      <c r="M45" s="212">
        <f t="shared" si="2"/>
        <v>0</v>
      </c>
      <c r="N45" s="212">
        <f t="shared" si="27"/>
        <v>0</v>
      </c>
      <c r="O45" s="212">
        <f>ROUND((L45*F45),2)</f>
        <v>0</v>
      </c>
      <c r="P45" s="212">
        <f>N45+O45</f>
        <v>0</v>
      </c>
      <c r="Q45" s="213" t="e">
        <f t="shared" si="30"/>
        <v>#DIV/0!</v>
      </c>
    </row>
    <row r="46" spans="1:33" s="237" customFormat="1" ht="39" customHeight="1">
      <c r="A46" s="239" t="s">
        <v>398</v>
      </c>
      <c r="B46" s="217" t="s">
        <v>399</v>
      </c>
      <c r="C46" s="239" t="s">
        <v>27</v>
      </c>
      <c r="D46" s="239" t="s">
        <v>400</v>
      </c>
      <c r="E46" s="216" t="s">
        <v>36</v>
      </c>
      <c r="F46" s="86">
        <v>4</v>
      </c>
      <c r="G46" s="212"/>
      <c r="H46" s="212"/>
      <c r="I46" s="212">
        <f>ROUND((F46*G46),2)</f>
        <v>0</v>
      </c>
      <c r="J46" s="212">
        <f>ROUND((H46*$F46),2)</f>
        <v>0</v>
      </c>
      <c r="K46" s="212">
        <f t="shared" si="29"/>
        <v>0</v>
      </c>
      <c r="L46" s="212">
        <f>ROUND((H46*(1+$K$2)),2)</f>
        <v>0</v>
      </c>
      <c r="M46" s="212">
        <f t="shared" si="2"/>
        <v>0</v>
      </c>
      <c r="N46" s="212">
        <f t="shared" si="27"/>
        <v>0</v>
      </c>
      <c r="O46" s="212">
        <f>ROUND((L46*F46),2)</f>
        <v>0</v>
      </c>
      <c r="P46" s="212">
        <f t="shared" si="5"/>
        <v>0</v>
      </c>
      <c r="Q46" s="213" t="e">
        <f t="shared" si="30"/>
        <v>#DIV/0!</v>
      </c>
    </row>
    <row r="47" spans="1:33" s="281" customFormat="1">
      <c r="A47" s="282" t="s">
        <v>415</v>
      </c>
      <c r="B47" s="287" t="s">
        <v>401</v>
      </c>
      <c r="C47" s="285" t="s">
        <v>23</v>
      </c>
      <c r="D47" s="285" t="s">
        <v>402</v>
      </c>
      <c r="E47" s="286" t="s">
        <v>25</v>
      </c>
      <c r="F47" s="86">
        <v>5</v>
      </c>
      <c r="G47" s="283"/>
      <c r="H47" s="283"/>
      <c r="I47" s="288">
        <f>ROUND((F47*G47),2)</f>
        <v>0</v>
      </c>
      <c r="J47" s="288">
        <f>ROUND((H47*$F47),2)</f>
        <v>0</v>
      </c>
      <c r="K47" s="288">
        <f t="shared" si="29"/>
        <v>0</v>
      </c>
      <c r="L47" s="288">
        <f>ROUND((H47*(1+$K$2)),2)</f>
        <v>0</v>
      </c>
      <c r="M47" s="288">
        <f t="shared" si="2"/>
        <v>0</v>
      </c>
      <c r="N47" s="288">
        <f t="shared" si="27"/>
        <v>0</v>
      </c>
      <c r="O47" s="288">
        <f>ROUND((L47*F47),2)</f>
        <v>0</v>
      </c>
      <c r="P47" s="288">
        <f t="shared" si="5"/>
        <v>0</v>
      </c>
      <c r="Q47" s="289" t="e">
        <f t="shared" si="30"/>
        <v>#DIV/0!</v>
      </c>
    </row>
    <row r="48" spans="1:33" s="284" customFormat="1">
      <c r="A48" s="285" t="s">
        <v>429</v>
      </c>
      <c r="B48" s="287" t="s">
        <v>427</v>
      </c>
      <c r="C48" s="290" t="s">
        <v>23</v>
      </c>
      <c r="D48" s="290" t="s">
        <v>416</v>
      </c>
      <c r="E48" s="291" t="s">
        <v>25</v>
      </c>
      <c r="F48" s="86">
        <v>1</v>
      </c>
      <c r="G48" s="288"/>
      <c r="H48" s="288"/>
      <c r="I48" s="294">
        <f t="shared" ref="I48:I54" si="31">ROUND((F48*G48),2)</f>
        <v>0</v>
      </c>
      <c r="J48" s="294">
        <f t="shared" ref="J48:J54" si="32">ROUND((H48*$F48),2)</f>
        <v>0</v>
      </c>
      <c r="K48" s="294">
        <f t="shared" si="29"/>
        <v>0</v>
      </c>
      <c r="L48" s="294">
        <f t="shared" ref="L48:L54" si="33">ROUND((H48*(1+$K$2)),2)</f>
        <v>0</v>
      </c>
      <c r="M48" s="294">
        <f t="shared" si="2"/>
        <v>0</v>
      </c>
      <c r="N48" s="294">
        <f t="shared" si="27"/>
        <v>0</v>
      </c>
      <c r="O48" s="294">
        <f t="shared" ref="O48:O54" si="34">ROUND((L48*F48),2)</f>
        <v>0</v>
      </c>
      <c r="P48" s="294">
        <f t="shared" si="5"/>
        <v>0</v>
      </c>
      <c r="Q48" s="295" t="e">
        <f t="shared" si="30"/>
        <v>#DIV/0!</v>
      </c>
    </row>
    <row r="49" spans="1:17" s="284" customFormat="1">
      <c r="A49" s="285" t="s">
        <v>430</v>
      </c>
      <c r="B49" s="287" t="s">
        <v>428</v>
      </c>
      <c r="C49" s="292" t="s">
        <v>23</v>
      </c>
      <c r="D49" s="292" t="s">
        <v>417</v>
      </c>
      <c r="E49" s="293" t="s">
        <v>25</v>
      </c>
      <c r="F49" s="86">
        <v>4</v>
      </c>
      <c r="G49" s="288"/>
      <c r="H49" s="288"/>
      <c r="I49" s="294">
        <f t="shared" si="31"/>
        <v>0</v>
      </c>
      <c r="J49" s="294">
        <f t="shared" si="32"/>
        <v>0</v>
      </c>
      <c r="K49" s="294">
        <f t="shared" si="29"/>
        <v>0</v>
      </c>
      <c r="L49" s="294">
        <f t="shared" si="33"/>
        <v>0</v>
      </c>
      <c r="M49" s="294">
        <f t="shared" si="2"/>
        <v>0</v>
      </c>
      <c r="N49" s="294">
        <f t="shared" si="27"/>
        <v>0</v>
      </c>
      <c r="O49" s="294">
        <f t="shared" si="34"/>
        <v>0</v>
      </c>
      <c r="P49" s="294">
        <f t="shared" si="5"/>
        <v>0</v>
      </c>
      <c r="Q49" s="295" t="e">
        <f t="shared" si="30"/>
        <v>#DIV/0!</v>
      </c>
    </row>
    <row r="50" spans="1:17" s="334" customFormat="1">
      <c r="A50" s="335" t="s">
        <v>435</v>
      </c>
      <c r="B50" s="337" t="s">
        <v>436</v>
      </c>
      <c r="C50" s="335" t="s">
        <v>23</v>
      </c>
      <c r="D50" s="335" t="s">
        <v>453</v>
      </c>
      <c r="E50" s="336" t="s">
        <v>40</v>
      </c>
      <c r="F50" s="86">
        <v>55</v>
      </c>
      <c r="G50" s="327"/>
      <c r="H50" s="327"/>
      <c r="I50" s="327">
        <f t="shared" si="31"/>
        <v>0</v>
      </c>
      <c r="J50" s="327">
        <f t="shared" si="32"/>
        <v>0</v>
      </c>
      <c r="K50" s="327">
        <f t="shared" si="29"/>
        <v>0</v>
      </c>
      <c r="L50" s="327">
        <f t="shared" si="33"/>
        <v>0</v>
      </c>
      <c r="M50" s="327">
        <f t="shared" si="2"/>
        <v>0</v>
      </c>
      <c r="N50" s="327">
        <f t="shared" si="27"/>
        <v>0</v>
      </c>
      <c r="O50" s="327">
        <f t="shared" si="34"/>
        <v>0</v>
      </c>
      <c r="P50" s="327">
        <f t="shared" si="5"/>
        <v>0</v>
      </c>
      <c r="Q50" s="295" t="e">
        <f t="shared" si="30"/>
        <v>#DIV/0!</v>
      </c>
    </row>
    <row r="51" spans="1:17" s="334" customFormat="1" ht="39" customHeight="1">
      <c r="A51" s="335" t="s">
        <v>449</v>
      </c>
      <c r="B51" s="349" t="s">
        <v>441</v>
      </c>
      <c r="C51" s="347" t="s">
        <v>27</v>
      </c>
      <c r="D51" s="347" t="s">
        <v>442</v>
      </c>
      <c r="E51" s="348" t="s">
        <v>40</v>
      </c>
      <c r="F51" s="86">
        <v>22.5</v>
      </c>
      <c r="G51" s="352"/>
      <c r="H51" s="352"/>
      <c r="I51" s="350">
        <f t="shared" si="31"/>
        <v>0</v>
      </c>
      <c r="J51" s="350">
        <f t="shared" si="32"/>
        <v>0</v>
      </c>
      <c r="K51" s="350">
        <f t="shared" si="29"/>
        <v>0</v>
      </c>
      <c r="L51" s="350">
        <f t="shared" si="33"/>
        <v>0</v>
      </c>
      <c r="M51" s="350">
        <f t="shared" si="2"/>
        <v>0</v>
      </c>
      <c r="N51" s="350">
        <f t="shared" si="27"/>
        <v>0</v>
      </c>
      <c r="O51" s="350">
        <f t="shared" si="34"/>
        <v>0</v>
      </c>
      <c r="P51" s="350">
        <f t="shared" si="5"/>
        <v>0</v>
      </c>
      <c r="Q51" s="351" t="e">
        <f t="shared" si="30"/>
        <v>#DIV/0!</v>
      </c>
    </row>
    <row r="52" spans="1:17" s="334" customFormat="1" ht="39" customHeight="1">
      <c r="A52" s="335" t="s">
        <v>450</v>
      </c>
      <c r="B52" s="349" t="s">
        <v>443</v>
      </c>
      <c r="C52" s="347" t="s">
        <v>27</v>
      </c>
      <c r="D52" s="347" t="s">
        <v>444</v>
      </c>
      <c r="E52" s="348" t="s">
        <v>40</v>
      </c>
      <c r="F52" s="86">
        <v>22.5</v>
      </c>
      <c r="G52" s="352"/>
      <c r="H52" s="352"/>
      <c r="I52" s="350">
        <f t="shared" si="31"/>
        <v>0</v>
      </c>
      <c r="J52" s="350">
        <f t="shared" si="32"/>
        <v>0</v>
      </c>
      <c r="K52" s="350">
        <f t="shared" si="29"/>
        <v>0</v>
      </c>
      <c r="L52" s="350">
        <f t="shared" si="33"/>
        <v>0</v>
      </c>
      <c r="M52" s="350">
        <f t="shared" si="2"/>
        <v>0</v>
      </c>
      <c r="N52" s="350">
        <f t="shared" si="27"/>
        <v>0</v>
      </c>
      <c r="O52" s="350">
        <f t="shared" si="34"/>
        <v>0</v>
      </c>
      <c r="P52" s="350">
        <f t="shared" si="5"/>
        <v>0</v>
      </c>
      <c r="Q52" s="351" t="e">
        <f t="shared" si="30"/>
        <v>#DIV/0!</v>
      </c>
    </row>
    <row r="53" spans="1:17" s="334" customFormat="1" ht="39" customHeight="1">
      <c r="A53" s="335" t="s">
        <v>451</v>
      </c>
      <c r="B53" s="349" t="s">
        <v>445</v>
      </c>
      <c r="C53" s="347" t="s">
        <v>27</v>
      </c>
      <c r="D53" s="347" t="s">
        <v>446</v>
      </c>
      <c r="E53" s="348" t="s">
        <v>40</v>
      </c>
      <c r="F53" s="86">
        <v>22.5</v>
      </c>
      <c r="G53" s="352"/>
      <c r="H53" s="352"/>
      <c r="I53" s="350">
        <f t="shared" si="31"/>
        <v>0</v>
      </c>
      <c r="J53" s="350">
        <f t="shared" si="32"/>
        <v>0</v>
      </c>
      <c r="K53" s="350">
        <f t="shared" si="29"/>
        <v>0</v>
      </c>
      <c r="L53" s="350">
        <f t="shared" si="33"/>
        <v>0</v>
      </c>
      <c r="M53" s="350">
        <f t="shared" si="2"/>
        <v>0</v>
      </c>
      <c r="N53" s="350">
        <f t="shared" si="27"/>
        <v>0</v>
      </c>
      <c r="O53" s="350">
        <f t="shared" si="34"/>
        <v>0</v>
      </c>
      <c r="P53" s="350">
        <f t="shared" si="5"/>
        <v>0</v>
      </c>
      <c r="Q53" s="351" t="e">
        <f t="shared" si="30"/>
        <v>#DIV/0!</v>
      </c>
    </row>
    <row r="54" spans="1:17" s="334" customFormat="1" ht="39" customHeight="1">
      <c r="A54" s="335" t="s">
        <v>452</v>
      </c>
      <c r="B54" s="349" t="s">
        <v>447</v>
      </c>
      <c r="C54" s="347" t="s">
        <v>27</v>
      </c>
      <c r="D54" s="347" t="s">
        <v>448</v>
      </c>
      <c r="E54" s="348" t="s">
        <v>40</v>
      </c>
      <c r="F54" s="86">
        <v>22.5</v>
      </c>
      <c r="G54" s="352"/>
      <c r="H54" s="352"/>
      <c r="I54" s="350">
        <f t="shared" si="31"/>
        <v>0</v>
      </c>
      <c r="J54" s="350">
        <f t="shared" si="32"/>
        <v>0</v>
      </c>
      <c r="K54" s="350">
        <f t="shared" si="29"/>
        <v>0</v>
      </c>
      <c r="L54" s="350">
        <f t="shared" si="33"/>
        <v>0</v>
      </c>
      <c r="M54" s="350">
        <f t="shared" si="2"/>
        <v>0</v>
      </c>
      <c r="N54" s="350">
        <f t="shared" si="27"/>
        <v>0</v>
      </c>
      <c r="O54" s="350">
        <f t="shared" si="34"/>
        <v>0</v>
      </c>
      <c r="P54" s="350">
        <f t="shared" si="5"/>
        <v>0</v>
      </c>
      <c r="Q54" s="351" t="e">
        <f t="shared" si="30"/>
        <v>#DIV/0!</v>
      </c>
    </row>
    <row r="55" spans="1:17" s="358" customFormat="1">
      <c r="A55" s="361" t="s">
        <v>549</v>
      </c>
      <c r="B55" s="380" t="s">
        <v>459</v>
      </c>
      <c r="C55" s="378" t="s">
        <v>23</v>
      </c>
      <c r="D55" s="378" t="s">
        <v>650</v>
      </c>
      <c r="E55" s="379" t="s">
        <v>25</v>
      </c>
      <c r="F55" s="352">
        <v>2</v>
      </c>
      <c r="G55" s="352"/>
      <c r="H55" s="352"/>
      <c r="I55" s="352">
        <f>ROUND((G55*$F55),2)</f>
        <v>0</v>
      </c>
      <c r="J55" s="352">
        <f>ROUND((H55*$F55),2)</f>
        <v>0</v>
      </c>
      <c r="K55" s="352">
        <f>ROUND((G55*(1+$K$2)),2)</f>
        <v>0</v>
      </c>
      <c r="L55" s="352">
        <f>ROUND((H55*(1+$K$2)),2)</f>
        <v>0</v>
      </c>
      <c r="M55" s="352">
        <f>SUM(K55:L55)</f>
        <v>0</v>
      </c>
      <c r="N55" s="352">
        <f>ROUND((K55*F55),2)</f>
        <v>0</v>
      </c>
      <c r="O55" s="352">
        <f>ROUND((L55*F55),2)</f>
        <v>0</v>
      </c>
      <c r="P55" s="352">
        <f>N55+O55</f>
        <v>0</v>
      </c>
      <c r="Q55" s="351" t="e">
        <f t="shared" si="30"/>
        <v>#DIV/0!</v>
      </c>
    </row>
    <row r="56" spans="1:17" ht="24" customHeight="1">
      <c r="A56" s="69" t="s">
        <v>79</v>
      </c>
      <c r="B56" s="69"/>
      <c r="C56" s="69"/>
      <c r="D56" s="69" t="s">
        <v>254</v>
      </c>
      <c r="E56" s="69"/>
      <c r="F56" s="84"/>
      <c r="G56" s="84"/>
      <c r="H56" s="84"/>
      <c r="I56" s="84"/>
      <c r="J56" s="84"/>
      <c r="K56" s="84"/>
      <c r="L56" s="84"/>
      <c r="M56" s="84"/>
      <c r="N56" s="84"/>
      <c r="O56" s="84"/>
      <c r="P56" s="84">
        <f>SUM(P57:P82)</f>
        <v>0</v>
      </c>
      <c r="Q56" s="106" t="e">
        <f t="shared" si="30"/>
        <v>#DIV/0!</v>
      </c>
    </row>
    <row r="57" spans="1:17" ht="26.1" customHeight="1">
      <c r="A57" s="56" t="s">
        <v>551</v>
      </c>
      <c r="B57" s="48" t="s">
        <v>231</v>
      </c>
      <c r="C57" s="56" t="s">
        <v>23</v>
      </c>
      <c r="D57" s="56" t="s">
        <v>689</v>
      </c>
      <c r="E57" s="47" t="s">
        <v>40</v>
      </c>
      <c r="F57" s="86">
        <v>100</v>
      </c>
      <c r="G57" s="86"/>
      <c r="H57" s="86"/>
      <c r="I57" s="86">
        <f t="shared" si="25"/>
        <v>0</v>
      </c>
      <c r="J57" s="86">
        <f t="shared" si="26"/>
        <v>0</v>
      </c>
      <c r="K57" s="86">
        <f t="shared" si="29"/>
        <v>0</v>
      </c>
      <c r="L57" s="86">
        <f t="shared" si="29"/>
        <v>0</v>
      </c>
      <c r="M57" s="86">
        <f t="shared" si="2"/>
        <v>0</v>
      </c>
      <c r="N57" s="45">
        <f t="shared" si="27"/>
        <v>0</v>
      </c>
      <c r="O57" s="45">
        <f t="shared" si="28"/>
        <v>0</v>
      </c>
      <c r="P57" s="45">
        <f t="shared" si="5"/>
        <v>0</v>
      </c>
      <c r="Q57" s="62" t="e">
        <f t="shared" si="30"/>
        <v>#DIV/0!</v>
      </c>
    </row>
    <row r="58" spans="1:17" ht="26.1" customHeight="1">
      <c r="A58" s="56" t="s">
        <v>552</v>
      </c>
      <c r="B58" s="48" t="s">
        <v>81</v>
      </c>
      <c r="C58" s="56" t="s">
        <v>27</v>
      </c>
      <c r="D58" s="56" t="s">
        <v>82</v>
      </c>
      <c r="E58" s="47" t="s">
        <v>25</v>
      </c>
      <c r="F58" s="86">
        <v>135</v>
      </c>
      <c r="G58" s="86"/>
      <c r="H58" s="86"/>
      <c r="I58" s="86">
        <f t="shared" si="25"/>
        <v>0</v>
      </c>
      <c r="J58" s="86">
        <f t="shared" si="26"/>
        <v>0</v>
      </c>
      <c r="K58" s="86">
        <f t="shared" si="29"/>
        <v>0</v>
      </c>
      <c r="L58" s="86">
        <f t="shared" si="29"/>
        <v>0</v>
      </c>
      <c r="M58" s="86">
        <f t="shared" si="2"/>
        <v>0</v>
      </c>
      <c r="N58" s="45">
        <f t="shared" si="27"/>
        <v>0</v>
      </c>
      <c r="O58" s="45">
        <f t="shared" si="28"/>
        <v>0</v>
      </c>
      <c r="P58" s="45">
        <f t="shared" si="5"/>
        <v>0</v>
      </c>
      <c r="Q58" s="62" t="e">
        <f t="shared" si="30"/>
        <v>#DIV/0!</v>
      </c>
    </row>
    <row r="59" spans="1:17" ht="39" customHeight="1">
      <c r="A59" s="56" t="s">
        <v>553</v>
      </c>
      <c r="B59" s="48" t="s">
        <v>232</v>
      </c>
      <c r="C59" s="56" t="s">
        <v>23</v>
      </c>
      <c r="D59" s="156" t="s">
        <v>653</v>
      </c>
      <c r="E59" s="47" t="s">
        <v>25</v>
      </c>
      <c r="F59" s="382">
        <v>135</v>
      </c>
      <c r="G59" s="86"/>
      <c r="H59" s="86"/>
      <c r="I59" s="86">
        <f t="shared" si="25"/>
        <v>0</v>
      </c>
      <c r="J59" s="86">
        <f t="shared" si="26"/>
        <v>0</v>
      </c>
      <c r="K59" s="86">
        <f t="shared" si="29"/>
        <v>0</v>
      </c>
      <c r="L59" s="86">
        <f t="shared" si="29"/>
        <v>0</v>
      </c>
      <c r="M59" s="86">
        <f t="shared" si="2"/>
        <v>0</v>
      </c>
      <c r="N59" s="45">
        <f t="shared" si="27"/>
        <v>0</v>
      </c>
      <c r="O59" s="45">
        <f t="shared" si="28"/>
        <v>0</v>
      </c>
      <c r="P59" s="45">
        <f t="shared" si="5"/>
        <v>0</v>
      </c>
      <c r="Q59" s="62" t="e">
        <f t="shared" si="30"/>
        <v>#DIV/0!</v>
      </c>
    </row>
    <row r="60" spans="1:17" ht="26.1" customHeight="1">
      <c r="A60" s="56" t="s">
        <v>274</v>
      </c>
      <c r="B60" s="48" t="s">
        <v>83</v>
      </c>
      <c r="C60" s="56" t="s">
        <v>27</v>
      </c>
      <c r="D60" s="56" t="s">
        <v>84</v>
      </c>
      <c r="E60" s="47" t="s">
        <v>25</v>
      </c>
      <c r="F60" s="86">
        <v>38</v>
      </c>
      <c r="G60" s="86"/>
      <c r="H60" s="86"/>
      <c r="I60" s="86">
        <f t="shared" si="25"/>
        <v>0</v>
      </c>
      <c r="J60" s="86">
        <f t="shared" si="26"/>
        <v>0</v>
      </c>
      <c r="K60" s="86">
        <f t="shared" ref="K60:L99" si="35">ROUND((G60*(1+$K$2)),2)</f>
        <v>0</v>
      </c>
      <c r="L60" s="86">
        <f t="shared" si="35"/>
        <v>0</v>
      </c>
      <c r="M60" s="86">
        <f t="shared" si="2"/>
        <v>0</v>
      </c>
      <c r="N60" s="45">
        <f t="shared" si="27"/>
        <v>0</v>
      </c>
      <c r="O60" s="45">
        <f t="shared" si="28"/>
        <v>0</v>
      </c>
      <c r="P60" s="45">
        <f t="shared" si="5"/>
        <v>0</v>
      </c>
      <c r="Q60" s="62" t="e">
        <f t="shared" si="30"/>
        <v>#DIV/0!</v>
      </c>
    </row>
    <row r="61" spans="1:17" ht="26.1" customHeight="1">
      <c r="A61" s="56" t="s">
        <v>275</v>
      </c>
      <c r="B61" s="48" t="s">
        <v>233</v>
      </c>
      <c r="C61" s="56" t="s">
        <v>23</v>
      </c>
      <c r="D61" s="56" t="s">
        <v>651</v>
      </c>
      <c r="E61" s="47" t="s">
        <v>25</v>
      </c>
      <c r="F61" s="86">
        <v>30</v>
      </c>
      <c r="G61" s="86"/>
      <c r="H61" s="86"/>
      <c r="I61" s="86">
        <f t="shared" si="25"/>
        <v>0</v>
      </c>
      <c r="J61" s="86">
        <f t="shared" si="26"/>
        <v>0</v>
      </c>
      <c r="K61" s="86">
        <f t="shared" si="35"/>
        <v>0</v>
      </c>
      <c r="L61" s="86">
        <f t="shared" si="35"/>
        <v>0</v>
      </c>
      <c r="M61" s="86">
        <f t="shared" si="2"/>
        <v>0</v>
      </c>
      <c r="N61" s="45">
        <f t="shared" si="27"/>
        <v>0</v>
      </c>
      <c r="O61" s="45">
        <f t="shared" si="28"/>
        <v>0</v>
      </c>
      <c r="P61" s="45">
        <f t="shared" si="5"/>
        <v>0</v>
      </c>
      <c r="Q61" s="62" t="e">
        <f t="shared" si="30"/>
        <v>#DIV/0!</v>
      </c>
    </row>
    <row r="62" spans="1:17" ht="43.5" customHeight="1">
      <c r="A62" s="56" t="s">
        <v>276</v>
      </c>
      <c r="B62" s="48" t="s">
        <v>86</v>
      </c>
      <c r="C62" s="56" t="s">
        <v>27</v>
      </c>
      <c r="D62" s="156" t="s">
        <v>87</v>
      </c>
      <c r="E62" s="47" t="s">
        <v>25</v>
      </c>
      <c r="F62" s="86">
        <v>20</v>
      </c>
      <c r="G62" s="86"/>
      <c r="H62" s="86"/>
      <c r="I62" s="86">
        <f t="shared" si="25"/>
        <v>0</v>
      </c>
      <c r="J62" s="86">
        <f t="shared" si="26"/>
        <v>0</v>
      </c>
      <c r="K62" s="86">
        <f t="shared" si="35"/>
        <v>0</v>
      </c>
      <c r="L62" s="86">
        <f t="shared" si="35"/>
        <v>0</v>
      </c>
      <c r="M62" s="86">
        <f t="shared" si="2"/>
        <v>0</v>
      </c>
      <c r="N62" s="45">
        <f t="shared" si="27"/>
        <v>0</v>
      </c>
      <c r="O62" s="45">
        <f t="shared" si="28"/>
        <v>0</v>
      </c>
      <c r="P62" s="45">
        <f t="shared" si="5"/>
        <v>0</v>
      </c>
      <c r="Q62" s="62" t="e">
        <f t="shared" si="30"/>
        <v>#DIV/0!</v>
      </c>
    </row>
    <row r="63" spans="1:17" ht="39" customHeight="1">
      <c r="A63" s="56" t="s">
        <v>277</v>
      </c>
      <c r="B63" s="48" t="s">
        <v>88</v>
      </c>
      <c r="C63" s="56" t="s">
        <v>27</v>
      </c>
      <c r="D63" s="56" t="s">
        <v>89</v>
      </c>
      <c r="E63" s="47" t="s">
        <v>25</v>
      </c>
      <c r="F63" s="86">
        <v>10</v>
      </c>
      <c r="G63" s="86"/>
      <c r="H63" s="86"/>
      <c r="I63" s="86">
        <f t="shared" si="25"/>
        <v>0</v>
      </c>
      <c r="J63" s="86">
        <f t="shared" si="26"/>
        <v>0</v>
      </c>
      <c r="K63" s="86">
        <f t="shared" si="35"/>
        <v>0</v>
      </c>
      <c r="L63" s="86">
        <f t="shared" si="35"/>
        <v>0</v>
      </c>
      <c r="M63" s="86">
        <f t="shared" si="2"/>
        <v>0</v>
      </c>
      <c r="N63" s="45">
        <f t="shared" si="27"/>
        <v>0</v>
      </c>
      <c r="O63" s="45">
        <f t="shared" si="28"/>
        <v>0</v>
      </c>
      <c r="P63" s="45">
        <f t="shared" si="5"/>
        <v>0</v>
      </c>
      <c r="Q63" s="62" t="e">
        <f t="shared" si="30"/>
        <v>#DIV/0!</v>
      </c>
    </row>
    <row r="64" spans="1:17" ht="26.1" customHeight="1">
      <c r="A64" s="56" t="s">
        <v>278</v>
      </c>
      <c r="B64" s="48" t="s">
        <v>226</v>
      </c>
      <c r="C64" s="56" t="s">
        <v>23</v>
      </c>
      <c r="D64" s="56" t="s">
        <v>372</v>
      </c>
      <c r="E64" s="47" t="s">
        <v>25</v>
      </c>
      <c r="F64" s="86">
        <v>8</v>
      </c>
      <c r="G64" s="86"/>
      <c r="H64" s="86"/>
      <c r="I64" s="86">
        <f t="shared" si="25"/>
        <v>0</v>
      </c>
      <c r="J64" s="86">
        <f t="shared" si="26"/>
        <v>0</v>
      </c>
      <c r="K64" s="86">
        <f t="shared" si="35"/>
        <v>0</v>
      </c>
      <c r="L64" s="86">
        <f t="shared" si="35"/>
        <v>0</v>
      </c>
      <c r="M64" s="86">
        <f t="shared" si="2"/>
        <v>0</v>
      </c>
      <c r="N64" s="45">
        <f t="shared" si="27"/>
        <v>0</v>
      </c>
      <c r="O64" s="45">
        <f t="shared" si="28"/>
        <v>0</v>
      </c>
      <c r="P64" s="45">
        <f t="shared" si="5"/>
        <v>0</v>
      </c>
      <c r="Q64" s="62" t="e">
        <f t="shared" si="30"/>
        <v>#DIV/0!</v>
      </c>
    </row>
    <row r="65" spans="1:17" ht="38.25">
      <c r="A65" s="56" t="s">
        <v>279</v>
      </c>
      <c r="B65" s="48" t="s">
        <v>91</v>
      </c>
      <c r="C65" s="56" t="s">
        <v>27</v>
      </c>
      <c r="D65" s="156" t="s">
        <v>371</v>
      </c>
      <c r="E65" s="47" t="s">
        <v>25</v>
      </c>
      <c r="F65" s="86">
        <v>135</v>
      </c>
      <c r="G65" s="86"/>
      <c r="H65" s="86"/>
      <c r="I65" s="86">
        <f t="shared" si="25"/>
        <v>0</v>
      </c>
      <c r="J65" s="86">
        <f t="shared" si="26"/>
        <v>0</v>
      </c>
      <c r="K65" s="86">
        <f t="shared" si="35"/>
        <v>0</v>
      </c>
      <c r="L65" s="86">
        <f t="shared" si="35"/>
        <v>0</v>
      </c>
      <c r="M65" s="86">
        <f t="shared" si="2"/>
        <v>0</v>
      </c>
      <c r="N65" s="45">
        <f t="shared" si="27"/>
        <v>0</v>
      </c>
      <c r="O65" s="45">
        <f t="shared" si="28"/>
        <v>0</v>
      </c>
      <c r="P65" s="45">
        <f t="shared" si="5"/>
        <v>0</v>
      </c>
      <c r="Q65" s="62" t="e">
        <f t="shared" si="30"/>
        <v>#DIV/0!</v>
      </c>
    </row>
    <row r="66" spans="1:17" s="113" customFormat="1" ht="18" customHeight="1">
      <c r="A66" s="114" t="s">
        <v>280</v>
      </c>
      <c r="B66" s="48" t="s">
        <v>327</v>
      </c>
      <c r="C66" s="114" t="s">
        <v>23</v>
      </c>
      <c r="D66" s="114" t="s">
        <v>613</v>
      </c>
      <c r="E66" s="47" t="s">
        <v>25</v>
      </c>
      <c r="F66" s="186">
        <v>2</v>
      </c>
      <c r="G66" s="186"/>
      <c r="H66" s="186"/>
      <c r="I66" s="186">
        <f t="shared" si="25"/>
        <v>0</v>
      </c>
      <c r="J66" s="186">
        <f t="shared" si="26"/>
        <v>0</v>
      </c>
      <c r="K66" s="186">
        <f t="shared" si="35"/>
        <v>0</v>
      </c>
      <c r="L66" s="186">
        <f t="shared" si="35"/>
        <v>0</v>
      </c>
      <c r="M66" s="186">
        <f t="shared" si="2"/>
        <v>0</v>
      </c>
      <c r="N66" s="186">
        <f t="shared" si="27"/>
        <v>0</v>
      </c>
      <c r="O66" s="186">
        <f t="shared" si="28"/>
        <v>0</v>
      </c>
      <c r="P66" s="186">
        <f t="shared" si="5"/>
        <v>0</v>
      </c>
      <c r="Q66" s="187" t="e">
        <f t="shared" si="30"/>
        <v>#DIV/0!</v>
      </c>
    </row>
    <row r="67" spans="1:17" s="150" customFormat="1">
      <c r="A67" s="183" t="s">
        <v>309</v>
      </c>
      <c r="B67" s="185" t="s">
        <v>344</v>
      </c>
      <c r="C67" s="183" t="s">
        <v>23</v>
      </c>
      <c r="D67" s="183" t="s">
        <v>300</v>
      </c>
      <c r="E67" s="184" t="s">
        <v>40</v>
      </c>
      <c r="F67" s="186">
        <v>87</v>
      </c>
      <c r="G67" s="186"/>
      <c r="H67" s="186"/>
      <c r="I67" s="186">
        <f t="shared" si="25"/>
        <v>0</v>
      </c>
      <c r="J67" s="186">
        <f t="shared" si="26"/>
        <v>0</v>
      </c>
      <c r="K67" s="186">
        <f t="shared" si="35"/>
        <v>0</v>
      </c>
      <c r="L67" s="186">
        <f t="shared" si="35"/>
        <v>0</v>
      </c>
      <c r="M67" s="186">
        <f t="shared" si="2"/>
        <v>0</v>
      </c>
      <c r="N67" s="186">
        <f t="shared" si="27"/>
        <v>0</v>
      </c>
      <c r="O67" s="186">
        <f t="shared" si="28"/>
        <v>0</v>
      </c>
      <c r="P67" s="186">
        <f t="shared" si="5"/>
        <v>0</v>
      </c>
      <c r="Q67" s="187" t="e">
        <f t="shared" si="30"/>
        <v>#DIV/0!</v>
      </c>
    </row>
    <row r="68" spans="1:17" s="403" customFormat="1" ht="45" customHeight="1">
      <c r="A68" s="405" t="s">
        <v>308</v>
      </c>
      <c r="B68" s="431" t="s">
        <v>543</v>
      </c>
      <c r="C68" s="429" t="s">
        <v>27</v>
      </c>
      <c r="D68" s="429" t="s">
        <v>544</v>
      </c>
      <c r="E68" s="406" t="s">
        <v>25</v>
      </c>
      <c r="F68" s="402">
        <v>1</v>
      </c>
      <c r="G68" s="408"/>
      <c r="H68" s="408"/>
      <c r="I68" s="408">
        <f t="shared" si="25"/>
        <v>0</v>
      </c>
      <c r="J68" s="408">
        <f t="shared" si="26"/>
        <v>0</v>
      </c>
      <c r="K68" s="408">
        <f t="shared" si="35"/>
        <v>0</v>
      </c>
      <c r="L68" s="408">
        <f t="shared" si="35"/>
        <v>0</v>
      </c>
      <c r="M68" s="408">
        <f t="shared" si="2"/>
        <v>0</v>
      </c>
      <c r="N68" s="408">
        <f t="shared" si="27"/>
        <v>0</v>
      </c>
      <c r="O68" s="408">
        <f t="shared" si="28"/>
        <v>0</v>
      </c>
      <c r="P68" s="408">
        <f t="shared" si="5"/>
        <v>0</v>
      </c>
      <c r="Q68" s="409" t="e">
        <f t="shared" si="30"/>
        <v>#DIV/0!</v>
      </c>
    </row>
    <row r="69" spans="1:17" s="415" customFormat="1" ht="41.25" customHeight="1">
      <c r="A69" s="417" t="s">
        <v>461</v>
      </c>
      <c r="B69" s="431" t="s">
        <v>545</v>
      </c>
      <c r="C69" s="429" t="s">
        <v>27</v>
      </c>
      <c r="D69" s="429" t="s">
        <v>546</v>
      </c>
      <c r="E69" s="430" t="s">
        <v>25</v>
      </c>
      <c r="F69" s="402">
        <v>1</v>
      </c>
      <c r="G69" s="408"/>
      <c r="H69" s="408"/>
      <c r="I69" s="432">
        <f t="shared" si="25"/>
        <v>0</v>
      </c>
      <c r="J69" s="432">
        <f t="shared" si="26"/>
        <v>0</v>
      </c>
      <c r="K69" s="432">
        <f t="shared" si="35"/>
        <v>0</v>
      </c>
      <c r="L69" s="432">
        <f t="shared" si="35"/>
        <v>0</v>
      </c>
      <c r="M69" s="432">
        <f t="shared" si="2"/>
        <v>0</v>
      </c>
      <c r="N69" s="432">
        <f t="shared" si="27"/>
        <v>0</v>
      </c>
      <c r="O69" s="432">
        <f t="shared" si="28"/>
        <v>0</v>
      </c>
      <c r="P69" s="432">
        <f t="shared" si="5"/>
        <v>0</v>
      </c>
      <c r="Q69" s="433" t="e">
        <f t="shared" si="30"/>
        <v>#DIV/0!</v>
      </c>
    </row>
    <row r="70" spans="1:17" s="403" customFormat="1" ht="27.75" customHeight="1">
      <c r="A70" s="405" t="s">
        <v>500</v>
      </c>
      <c r="B70" s="407" t="s">
        <v>496</v>
      </c>
      <c r="C70" s="405" t="s">
        <v>27</v>
      </c>
      <c r="D70" s="405" t="s">
        <v>497</v>
      </c>
      <c r="E70" s="406" t="s">
        <v>25</v>
      </c>
      <c r="F70" s="402">
        <v>20</v>
      </c>
      <c r="G70" s="408"/>
      <c r="H70" s="408"/>
      <c r="I70" s="408">
        <f>ROUND((G70*$F70),2)</f>
        <v>0</v>
      </c>
      <c r="J70" s="408">
        <f t="shared" si="26"/>
        <v>0</v>
      </c>
      <c r="K70" s="408">
        <f>ROUND((G70*(1+$K$2)),2)</f>
        <v>0</v>
      </c>
      <c r="L70" s="408">
        <f t="shared" si="35"/>
        <v>0</v>
      </c>
      <c r="M70" s="408">
        <f t="shared" si="2"/>
        <v>0</v>
      </c>
      <c r="N70" s="408">
        <f>ROUND((K70*F70),2)</f>
        <v>0</v>
      </c>
      <c r="O70" s="408">
        <f>ROUND((L70*F70),2)</f>
        <v>0</v>
      </c>
      <c r="P70" s="408">
        <f>N70+O70</f>
        <v>0</v>
      </c>
      <c r="Q70" s="409" t="e">
        <f t="shared" si="30"/>
        <v>#DIV/0!</v>
      </c>
    </row>
    <row r="71" spans="1:17" s="403" customFormat="1" ht="30.75" customHeight="1">
      <c r="A71" s="405" t="s">
        <v>501</v>
      </c>
      <c r="B71" s="407" t="s">
        <v>498</v>
      </c>
      <c r="C71" s="405" t="s">
        <v>27</v>
      </c>
      <c r="D71" s="405" t="s">
        <v>499</v>
      </c>
      <c r="E71" s="406" t="s">
        <v>25</v>
      </c>
      <c r="F71" s="402">
        <v>5</v>
      </c>
      <c r="G71" s="408"/>
      <c r="H71" s="408"/>
      <c r="I71" s="408">
        <f t="shared" si="25"/>
        <v>0</v>
      </c>
      <c r="J71" s="408">
        <f t="shared" si="26"/>
        <v>0</v>
      </c>
      <c r="K71" s="408">
        <f t="shared" si="35"/>
        <v>0</v>
      </c>
      <c r="L71" s="408">
        <f t="shared" si="35"/>
        <v>0</v>
      </c>
      <c r="M71" s="408">
        <f t="shared" si="2"/>
        <v>0</v>
      </c>
      <c r="N71" s="408">
        <f t="shared" si="27"/>
        <v>0</v>
      </c>
      <c r="O71" s="408">
        <f t="shared" si="28"/>
        <v>0</v>
      </c>
      <c r="P71" s="408">
        <f t="shared" si="5"/>
        <v>0</v>
      </c>
      <c r="Q71" s="409" t="e">
        <f t="shared" si="30"/>
        <v>#DIV/0!</v>
      </c>
    </row>
    <row r="72" spans="1:17" s="428" customFormat="1" ht="30.75" customHeight="1">
      <c r="A72" s="429" t="s">
        <v>502</v>
      </c>
      <c r="B72" s="431" t="s">
        <v>547</v>
      </c>
      <c r="C72" s="429" t="s">
        <v>27</v>
      </c>
      <c r="D72" s="429" t="s">
        <v>548</v>
      </c>
      <c r="E72" s="430" t="s">
        <v>25</v>
      </c>
      <c r="F72" s="402">
        <v>5</v>
      </c>
      <c r="G72" s="432"/>
      <c r="H72" s="432"/>
      <c r="I72" s="432">
        <f t="shared" si="25"/>
        <v>0</v>
      </c>
      <c r="J72" s="432">
        <f t="shared" si="26"/>
        <v>0</v>
      </c>
      <c r="K72" s="432">
        <f t="shared" si="35"/>
        <v>0</v>
      </c>
      <c r="L72" s="432">
        <f t="shared" si="35"/>
        <v>0</v>
      </c>
      <c r="M72" s="432">
        <f t="shared" si="2"/>
        <v>0</v>
      </c>
      <c r="N72" s="432">
        <f t="shared" si="27"/>
        <v>0</v>
      </c>
      <c r="O72" s="432">
        <f t="shared" si="28"/>
        <v>0</v>
      </c>
      <c r="P72" s="432">
        <f t="shared" si="5"/>
        <v>0</v>
      </c>
      <c r="Q72" s="433" t="e">
        <f t="shared" si="30"/>
        <v>#DIV/0!</v>
      </c>
    </row>
    <row r="73" spans="1:17" s="428" customFormat="1" ht="30.75" customHeight="1">
      <c r="A73" s="429" t="s">
        <v>556</v>
      </c>
      <c r="B73" s="449" t="s">
        <v>559</v>
      </c>
      <c r="C73" s="447" t="s">
        <v>23</v>
      </c>
      <c r="D73" s="447" t="s">
        <v>560</v>
      </c>
      <c r="E73" s="448" t="s">
        <v>25</v>
      </c>
      <c r="F73" s="402">
        <v>1</v>
      </c>
      <c r="G73" s="432"/>
      <c r="H73" s="432"/>
      <c r="I73" s="450">
        <f t="shared" si="25"/>
        <v>0</v>
      </c>
      <c r="J73" s="450">
        <f t="shared" si="26"/>
        <v>0</v>
      </c>
      <c r="K73" s="450">
        <f t="shared" si="35"/>
        <v>0</v>
      </c>
      <c r="L73" s="450">
        <f t="shared" si="35"/>
        <v>0</v>
      </c>
      <c r="M73" s="450">
        <f t="shared" si="2"/>
        <v>0</v>
      </c>
      <c r="N73" s="450">
        <f t="shared" si="27"/>
        <v>0</v>
      </c>
      <c r="O73" s="450">
        <f t="shared" si="28"/>
        <v>0</v>
      </c>
      <c r="P73" s="450">
        <f t="shared" si="5"/>
        <v>0</v>
      </c>
      <c r="Q73" s="451" t="e">
        <f t="shared" si="30"/>
        <v>#DIV/0!</v>
      </c>
    </row>
    <row r="74" spans="1:17" s="428" customFormat="1" ht="30.75" customHeight="1">
      <c r="A74" s="429" t="s">
        <v>557</v>
      </c>
      <c r="B74" s="454" t="s">
        <v>563</v>
      </c>
      <c r="C74" s="452" t="s">
        <v>23</v>
      </c>
      <c r="D74" s="452" t="s">
        <v>564</v>
      </c>
      <c r="E74" s="453" t="s">
        <v>25</v>
      </c>
      <c r="F74" s="402">
        <v>2</v>
      </c>
      <c r="G74" s="432"/>
      <c r="H74" s="432"/>
      <c r="I74" s="450">
        <f t="shared" si="25"/>
        <v>0</v>
      </c>
      <c r="J74" s="450">
        <f t="shared" si="26"/>
        <v>0</v>
      </c>
      <c r="K74" s="450">
        <f t="shared" si="35"/>
        <v>0</v>
      </c>
      <c r="L74" s="450">
        <f t="shared" si="35"/>
        <v>0</v>
      </c>
      <c r="M74" s="450">
        <f t="shared" si="2"/>
        <v>0</v>
      </c>
      <c r="N74" s="450">
        <f t="shared" si="27"/>
        <v>0</v>
      </c>
      <c r="O74" s="450">
        <f t="shared" si="28"/>
        <v>0</v>
      </c>
      <c r="P74" s="450">
        <f t="shared" si="5"/>
        <v>0</v>
      </c>
      <c r="Q74" s="451" t="e">
        <f t="shared" si="30"/>
        <v>#DIV/0!</v>
      </c>
    </row>
    <row r="75" spans="1:17" s="428" customFormat="1" ht="30.75" customHeight="1">
      <c r="A75" s="429" t="s">
        <v>558</v>
      </c>
      <c r="B75" s="454" t="s">
        <v>565</v>
      </c>
      <c r="C75" s="452" t="s">
        <v>23</v>
      </c>
      <c r="D75" s="452" t="s">
        <v>566</v>
      </c>
      <c r="E75" s="471" t="s">
        <v>25</v>
      </c>
      <c r="F75" s="402">
        <v>3</v>
      </c>
      <c r="G75" s="432"/>
      <c r="H75" s="432"/>
      <c r="I75" s="450">
        <f t="shared" si="25"/>
        <v>0</v>
      </c>
      <c r="J75" s="450">
        <f t="shared" si="26"/>
        <v>0</v>
      </c>
      <c r="K75" s="450">
        <f t="shared" si="35"/>
        <v>0</v>
      </c>
      <c r="L75" s="450">
        <f t="shared" si="35"/>
        <v>0</v>
      </c>
      <c r="M75" s="450">
        <f t="shared" si="2"/>
        <v>0</v>
      </c>
      <c r="N75" s="450">
        <f t="shared" si="27"/>
        <v>0</v>
      </c>
      <c r="O75" s="450">
        <f t="shared" si="28"/>
        <v>0</v>
      </c>
      <c r="P75" s="450">
        <f t="shared" si="5"/>
        <v>0</v>
      </c>
      <c r="Q75" s="451" t="e">
        <f t="shared" si="30"/>
        <v>#DIV/0!</v>
      </c>
    </row>
    <row r="76" spans="1:17" s="463" customFormat="1" ht="30.75" customHeight="1">
      <c r="A76" s="464" t="s">
        <v>599</v>
      </c>
      <c r="B76" s="472" t="s">
        <v>603</v>
      </c>
      <c r="C76" s="470" t="s">
        <v>27</v>
      </c>
      <c r="D76" s="470" t="s">
        <v>604</v>
      </c>
      <c r="E76" s="471" t="s">
        <v>40</v>
      </c>
      <c r="F76" s="86">
        <v>336.7</v>
      </c>
      <c r="G76" s="473"/>
      <c r="H76" s="473"/>
      <c r="I76" s="467">
        <f t="shared" si="25"/>
        <v>0</v>
      </c>
      <c r="J76" s="467">
        <f t="shared" si="26"/>
        <v>0</v>
      </c>
      <c r="K76" s="467">
        <f t="shared" si="35"/>
        <v>0</v>
      </c>
      <c r="L76" s="467">
        <f t="shared" si="35"/>
        <v>0</v>
      </c>
      <c r="M76" s="467">
        <f t="shared" si="2"/>
        <v>0</v>
      </c>
      <c r="N76" s="467">
        <f t="shared" si="27"/>
        <v>0</v>
      </c>
      <c r="O76" s="467">
        <f t="shared" si="28"/>
        <v>0</v>
      </c>
      <c r="P76" s="467">
        <f t="shared" si="5"/>
        <v>0</v>
      </c>
      <c r="Q76" s="468" t="e">
        <f t="shared" ref="Q76:Q82" si="36">P76/$G$104</f>
        <v>#DIV/0!</v>
      </c>
    </row>
    <row r="77" spans="1:17" s="463" customFormat="1" ht="30.75" customHeight="1">
      <c r="A77" s="464" t="s">
        <v>600</v>
      </c>
      <c r="B77" s="472" t="s">
        <v>605</v>
      </c>
      <c r="C77" s="470" t="s">
        <v>27</v>
      </c>
      <c r="D77" s="470" t="s">
        <v>606</v>
      </c>
      <c r="E77" s="471" t="s">
        <v>40</v>
      </c>
      <c r="F77" s="86">
        <v>120</v>
      </c>
      <c r="G77" s="473"/>
      <c r="H77" s="473"/>
      <c r="I77" s="467">
        <f t="shared" si="25"/>
        <v>0</v>
      </c>
      <c r="J77" s="467">
        <f t="shared" si="26"/>
        <v>0</v>
      </c>
      <c r="K77" s="467">
        <f t="shared" si="35"/>
        <v>0</v>
      </c>
      <c r="L77" s="467">
        <f t="shared" si="35"/>
        <v>0</v>
      </c>
      <c r="M77" s="467">
        <f t="shared" si="2"/>
        <v>0</v>
      </c>
      <c r="N77" s="467">
        <f t="shared" si="27"/>
        <v>0</v>
      </c>
      <c r="O77" s="467">
        <f t="shared" si="28"/>
        <v>0</v>
      </c>
      <c r="P77" s="467">
        <f t="shared" si="5"/>
        <v>0</v>
      </c>
      <c r="Q77" s="468" t="e">
        <f t="shared" si="36"/>
        <v>#DIV/0!</v>
      </c>
    </row>
    <row r="78" spans="1:17" s="463" customFormat="1" ht="30.75" customHeight="1">
      <c r="A78" s="464" t="s">
        <v>601</v>
      </c>
      <c r="B78" s="472" t="s">
        <v>607</v>
      </c>
      <c r="C78" s="470" t="s">
        <v>27</v>
      </c>
      <c r="D78" s="470" t="s">
        <v>608</v>
      </c>
      <c r="E78" s="471" t="s">
        <v>40</v>
      </c>
      <c r="F78" s="86">
        <v>67.400000000000006</v>
      </c>
      <c r="G78" s="473"/>
      <c r="H78" s="473"/>
      <c r="I78" s="467">
        <f t="shared" si="25"/>
        <v>0</v>
      </c>
      <c r="J78" s="467">
        <f t="shared" si="26"/>
        <v>0</v>
      </c>
      <c r="K78" s="467">
        <f t="shared" si="35"/>
        <v>0</v>
      </c>
      <c r="L78" s="467">
        <f t="shared" si="35"/>
        <v>0</v>
      </c>
      <c r="M78" s="467">
        <f t="shared" si="2"/>
        <v>0</v>
      </c>
      <c r="N78" s="467">
        <f t="shared" si="27"/>
        <v>0</v>
      </c>
      <c r="O78" s="467">
        <f t="shared" si="28"/>
        <v>0</v>
      </c>
      <c r="P78" s="467">
        <f t="shared" si="5"/>
        <v>0</v>
      </c>
      <c r="Q78" s="468" t="e">
        <f t="shared" si="36"/>
        <v>#DIV/0!</v>
      </c>
    </row>
    <row r="79" spans="1:17" s="463" customFormat="1" ht="30.75" customHeight="1">
      <c r="A79" s="464" t="s">
        <v>602</v>
      </c>
      <c r="B79" s="472" t="s">
        <v>609</v>
      </c>
      <c r="C79" s="470" t="s">
        <v>27</v>
      </c>
      <c r="D79" s="470" t="s">
        <v>610</v>
      </c>
      <c r="E79" s="471" t="s">
        <v>40</v>
      </c>
      <c r="F79" s="86">
        <v>40</v>
      </c>
      <c r="G79" s="473"/>
      <c r="H79" s="473"/>
      <c r="I79" s="467">
        <f t="shared" si="25"/>
        <v>0</v>
      </c>
      <c r="J79" s="467">
        <f t="shared" si="26"/>
        <v>0</v>
      </c>
      <c r="K79" s="467">
        <f t="shared" si="35"/>
        <v>0</v>
      </c>
      <c r="L79" s="467">
        <f t="shared" si="35"/>
        <v>0</v>
      </c>
      <c r="M79" s="467">
        <f t="shared" si="2"/>
        <v>0</v>
      </c>
      <c r="N79" s="467">
        <f t="shared" si="27"/>
        <v>0</v>
      </c>
      <c r="O79" s="467">
        <f t="shared" si="28"/>
        <v>0</v>
      </c>
      <c r="P79" s="467">
        <f t="shared" si="5"/>
        <v>0</v>
      </c>
      <c r="Q79" s="468" t="e">
        <f t="shared" si="36"/>
        <v>#DIV/0!</v>
      </c>
    </row>
    <row r="80" spans="1:17" s="463" customFormat="1" ht="30.75" customHeight="1">
      <c r="A80" s="470" t="s">
        <v>611</v>
      </c>
      <c r="B80" s="472"/>
      <c r="C80" s="483" t="s">
        <v>612</v>
      </c>
      <c r="D80" s="483" t="s">
        <v>654</v>
      </c>
      <c r="E80" s="471" t="s">
        <v>25</v>
      </c>
      <c r="F80" s="86">
        <v>30</v>
      </c>
      <c r="G80" s="473"/>
      <c r="H80" s="473"/>
      <c r="I80" s="473">
        <f t="shared" si="25"/>
        <v>0</v>
      </c>
      <c r="J80" s="473">
        <f t="shared" si="26"/>
        <v>0</v>
      </c>
      <c r="K80" s="473">
        <f t="shared" si="35"/>
        <v>0</v>
      </c>
      <c r="L80" s="473">
        <f t="shared" si="35"/>
        <v>0</v>
      </c>
      <c r="M80" s="473">
        <f t="shared" si="2"/>
        <v>0</v>
      </c>
      <c r="N80" s="473">
        <f t="shared" si="27"/>
        <v>0</v>
      </c>
      <c r="O80" s="473">
        <f t="shared" si="28"/>
        <v>0</v>
      </c>
      <c r="P80" s="473">
        <f t="shared" si="5"/>
        <v>0</v>
      </c>
      <c r="Q80" s="468" t="e">
        <f t="shared" si="36"/>
        <v>#DIV/0!</v>
      </c>
    </row>
    <row r="81" spans="1:17" s="493" customFormat="1" ht="30.75" customHeight="1">
      <c r="A81" s="495" t="s">
        <v>669</v>
      </c>
      <c r="B81" s="530" t="s">
        <v>672</v>
      </c>
      <c r="C81" s="528" t="s">
        <v>23</v>
      </c>
      <c r="D81" s="528" t="s">
        <v>673</v>
      </c>
      <c r="E81" s="496" t="s">
        <v>40</v>
      </c>
      <c r="F81" s="86">
        <v>333</v>
      </c>
      <c r="G81" s="498"/>
      <c r="H81" s="498"/>
      <c r="I81" s="531">
        <f t="shared" si="25"/>
        <v>0</v>
      </c>
      <c r="J81" s="531">
        <f t="shared" si="26"/>
        <v>0</v>
      </c>
      <c r="K81" s="531">
        <f t="shared" si="35"/>
        <v>0</v>
      </c>
      <c r="L81" s="531">
        <f t="shared" si="35"/>
        <v>0</v>
      </c>
      <c r="M81" s="531">
        <f t="shared" si="2"/>
        <v>0</v>
      </c>
      <c r="N81" s="531">
        <f t="shared" si="27"/>
        <v>0</v>
      </c>
      <c r="O81" s="531">
        <f t="shared" si="28"/>
        <v>0</v>
      </c>
      <c r="P81" s="531">
        <f t="shared" si="5"/>
        <v>0</v>
      </c>
      <c r="Q81" s="532" t="e">
        <f t="shared" si="36"/>
        <v>#DIV/0!</v>
      </c>
    </row>
    <row r="82" spans="1:17" s="493" customFormat="1" ht="30.75" customHeight="1">
      <c r="A82" s="495" t="s">
        <v>671</v>
      </c>
      <c r="B82" s="497" t="s">
        <v>686</v>
      </c>
      <c r="C82" s="495" t="s">
        <v>23</v>
      </c>
      <c r="D82" s="495" t="s">
        <v>687</v>
      </c>
      <c r="E82" s="529" t="s">
        <v>25</v>
      </c>
      <c r="F82" s="86">
        <v>2</v>
      </c>
      <c r="G82" s="498"/>
      <c r="H82" s="498"/>
      <c r="I82" s="531">
        <f t="shared" si="25"/>
        <v>0</v>
      </c>
      <c r="J82" s="531">
        <f t="shared" si="26"/>
        <v>0</v>
      </c>
      <c r="K82" s="531">
        <f t="shared" si="35"/>
        <v>0</v>
      </c>
      <c r="L82" s="531">
        <f t="shared" si="35"/>
        <v>0</v>
      </c>
      <c r="M82" s="531">
        <f t="shared" si="2"/>
        <v>0</v>
      </c>
      <c r="N82" s="531">
        <f t="shared" si="27"/>
        <v>0</v>
      </c>
      <c r="O82" s="531">
        <f t="shared" si="28"/>
        <v>0</v>
      </c>
      <c r="P82" s="531">
        <f t="shared" si="5"/>
        <v>0</v>
      </c>
      <c r="Q82" s="532" t="e">
        <f t="shared" si="36"/>
        <v>#DIV/0!</v>
      </c>
    </row>
    <row r="83" spans="1:17" s="387" customFormat="1">
      <c r="A83" s="69">
        <v>9</v>
      </c>
      <c r="B83" s="69"/>
      <c r="C83" s="69"/>
      <c r="D83" s="69" t="s">
        <v>614</v>
      </c>
      <c r="E83" s="69"/>
      <c r="F83" s="69"/>
      <c r="G83" s="69"/>
      <c r="H83" s="69"/>
      <c r="I83" s="69"/>
      <c r="J83" s="69"/>
      <c r="K83" s="69"/>
      <c r="L83" s="69"/>
      <c r="M83" s="69"/>
      <c r="N83" s="69"/>
      <c r="O83" s="69"/>
      <c r="P83" s="404">
        <f>SUM(P86:P97)</f>
        <v>0</v>
      </c>
      <c r="Q83" s="106" t="e">
        <f>P83/G104</f>
        <v>#DIV/0!</v>
      </c>
    </row>
    <row r="84" spans="1:17" ht="26.1" customHeight="1">
      <c r="A84" s="56" t="s">
        <v>476</v>
      </c>
      <c r="B84" s="48" t="s">
        <v>222</v>
      </c>
      <c r="C84" s="56" t="s">
        <v>23</v>
      </c>
      <c r="D84" s="56" t="s">
        <v>690</v>
      </c>
      <c r="E84" s="47" t="s">
        <v>25</v>
      </c>
      <c r="F84" s="86">
        <v>1</v>
      </c>
      <c r="G84" s="86"/>
      <c r="H84" s="86"/>
      <c r="I84" s="86">
        <f>ROUND((G84*$F84),2)</f>
        <v>0</v>
      </c>
      <c r="J84" s="86">
        <f>ROUND((H84*$F84),2)</f>
        <v>0</v>
      </c>
      <c r="K84" s="86">
        <f>ROUND((G84*(1+$K$2)),2)</f>
        <v>0</v>
      </c>
      <c r="L84" s="86">
        <f>ROUND((H84*(1+$K$2)),2)</f>
        <v>0</v>
      </c>
      <c r="M84" s="86">
        <f>SUM(K84:L84)</f>
        <v>0</v>
      </c>
      <c r="N84" s="45">
        <f>ROUND((K84*F84),2)</f>
        <v>0</v>
      </c>
      <c r="O84" s="45">
        <f>ROUND((L84*F84),2)</f>
        <v>0</v>
      </c>
      <c r="P84" s="45">
        <f>N84+O84</f>
        <v>0</v>
      </c>
      <c r="Q84" s="62" t="e">
        <f>P84/$G$104</f>
        <v>#DIV/0!</v>
      </c>
    </row>
    <row r="85" spans="1:17" s="387" customFormat="1" ht="38.25">
      <c r="A85" s="405" t="s">
        <v>482</v>
      </c>
      <c r="B85" s="407" t="s">
        <v>480</v>
      </c>
      <c r="C85" s="405" t="s">
        <v>27</v>
      </c>
      <c r="D85" s="405" t="s">
        <v>481</v>
      </c>
      <c r="E85" s="406" t="s">
        <v>25</v>
      </c>
      <c r="F85" s="402">
        <v>1</v>
      </c>
      <c r="G85" s="408"/>
      <c r="H85" s="408"/>
      <c r="I85" s="408">
        <f>ROUND((G85*$F85),2)</f>
        <v>0</v>
      </c>
      <c r="J85" s="408">
        <f>ROUND((H85*$F85),2)</f>
        <v>0</v>
      </c>
      <c r="K85" s="408">
        <f>ROUND((G85*(1+$K$2)),2)</f>
        <v>0</v>
      </c>
      <c r="L85" s="408">
        <f>ROUND((H85*(1+$K$2)),2)</f>
        <v>0</v>
      </c>
      <c r="M85" s="408">
        <f>SUM(K85:L85)</f>
        <v>0</v>
      </c>
      <c r="N85" s="408">
        <f>ROUND((K85*F85),2)</f>
        <v>0</v>
      </c>
      <c r="O85" s="408">
        <f>ROUND((L85*F85),2)</f>
        <v>0</v>
      </c>
      <c r="P85" s="408">
        <f>N85+O85</f>
        <v>0</v>
      </c>
      <c r="Q85" s="409" t="e">
        <f>P85/$G$104</f>
        <v>#DIV/0!</v>
      </c>
    </row>
    <row r="86" spans="1:17" s="387" customFormat="1" ht="24.75" customHeight="1">
      <c r="A86" s="405" t="s">
        <v>479</v>
      </c>
      <c r="B86" s="407" t="s">
        <v>477</v>
      </c>
      <c r="C86" s="405" t="s">
        <v>27</v>
      </c>
      <c r="D86" s="405" t="s">
        <v>478</v>
      </c>
      <c r="E86" s="406" t="s">
        <v>25</v>
      </c>
      <c r="F86" s="402">
        <v>10</v>
      </c>
      <c r="G86" s="408"/>
      <c r="H86" s="408"/>
      <c r="I86" s="366">
        <f t="shared" si="25"/>
        <v>0</v>
      </c>
      <c r="J86" s="366">
        <f t="shared" si="26"/>
        <v>0</v>
      </c>
      <c r="K86" s="366">
        <f t="shared" si="35"/>
        <v>0</v>
      </c>
      <c r="L86" s="366">
        <f t="shared" si="35"/>
        <v>0</v>
      </c>
      <c r="M86" s="366">
        <f t="shared" si="2"/>
        <v>0</v>
      </c>
      <c r="N86" s="366">
        <f t="shared" si="27"/>
        <v>0</v>
      </c>
      <c r="O86" s="366">
        <f t="shared" si="28"/>
        <v>0</v>
      </c>
      <c r="P86" s="366">
        <f t="shared" si="5"/>
        <v>0</v>
      </c>
      <c r="Q86" s="351" t="e">
        <f>P86/$G$104</f>
        <v>#DIV/0!</v>
      </c>
    </row>
    <row r="87" spans="1:17" s="387" customFormat="1" ht="24.75" customHeight="1">
      <c r="A87" s="405" t="s">
        <v>485</v>
      </c>
      <c r="B87" s="407" t="s">
        <v>483</v>
      </c>
      <c r="C87" s="405" t="s">
        <v>27</v>
      </c>
      <c r="D87" s="405" t="s">
        <v>484</v>
      </c>
      <c r="E87" s="406" t="s">
        <v>41</v>
      </c>
      <c r="F87" s="402">
        <v>0.6</v>
      </c>
      <c r="G87" s="408"/>
      <c r="H87" s="408"/>
      <c r="I87" s="408">
        <f t="shared" si="25"/>
        <v>0</v>
      </c>
      <c r="J87" s="408">
        <f t="shared" si="26"/>
        <v>0</v>
      </c>
      <c r="K87" s="408">
        <f t="shared" si="35"/>
        <v>0</v>
      </c>
      <c r="L87" s="408">
        <f t="shared" si="35"/>
        <v>0</v>
      </c>
      <c r="M87" s="408">
        <f t="shared" si="2"/>
        <v>0</v>
      </c>
      <c r="N87" s="408">
        <f t="shared" si="27"/>
        <v>0</v>
      </c>
      <c r="O87" s="408">
        <f t="shared" si="28"/>
        <v>0</v>
      </c>
      <c r="P87" s="408">
        <f t="shared" si="5"/>
        <v>0</v>
      </c>
      <c r="Q87" s="409" t="e">
        <f t="shared" ref="Q87:Q97" si="37">P87/$G$104</f>
        <v>#DIV/0!</v>
      </c>
    </row>
    <row r="88" spans="1:17" s="403" customFormat="1" ht="24.75" customHeight="1">
      <c r="A88" s="405" t="s">
        <v>486</v>
      </c>
      <c r="B88" s="407" t="s">
        <v>396</v>
      </c>
      <c r="C88" s="405" t="s">
        <v>27</v>
      </c>
      <c r="D88" s="405" t="s">
        <v>397</v>
      </c>
      <c r="E88" s="406" t="s">
        <v>36</v>
      </c>
      <c r="F88" s="402">
        <v>2</v>
      </c>
      <c r="G88" s="408"/>
      <c r="H88" s="408"/>
      <c r="I88" s="408">
        <f t="shared" si="25"/>
        <v>0</v>
      </c>
      <c r="J88" s="408">
        <f t="shared" si="26"/>
        <v>0</v>
      </c>
      <c r="K88" s="408">
        <f t="shared" si="35"/>
        <v>0</v>
      </c>
      <c r="L88" s="408">
        <f t="shared" si="35"/>
        <v>0</v>
      </c>
      <c r="M88" s="408">
        <f t="shared" si="2"/>
        <v>0</v>
      </c>
      <c r="N88" s="408">
        <f t="shared" si="27"/>
        <v>0</v>
      </c>
      <c r="O88" s="408">
        <f t="shared" si="28"/>
        <v>0</v>
      </c>
      <c r="P88" s="408">
        <f t="shared" si="5"/>
        <v>0</v>
      </c>
      <c r="Q88" s="409" t="e">
        <f t="shared" si="37"/>
        <v>#DIV/0!</v>
      </c>
    </row>
    <row r="89" spans="1:17" s="403" customFormat="1" ht="24.75" customHeight="1">
      <c r="A89" s="405" t="s">
        <v>487</v>
      </c>
      <c r="B89" s="407" t="s">
        <v>399</v>
      </c>
      <c r="C89" s="405" t="s">
        <v>27</v>
      </c>
      <c r="D89" s="405" t="s">
        <v>400</v>
      </c>
      <c r="E89" s="406" t="s">
        <v>36</v>
      </c>
      <c r="F89" s="402">
        <v>2</v>
      </c>
      <c r="G89" s="408"/>
      <c r="H89" s="408"/>
      <c r="I89" s="408">
        <f t="shared" si="25"/>
        <v>0</v>
      </c>
      <c r="J89" s="408">
        <f t="shared" si="26"/>
        <v>0</v>
      </c>
      <c r="K89" s="408">
        <f t="shared" si="35"/>
        <v>0</v>
      </c>
      <c r="L89" s="408">
        <f t="shared" si="35"/>
        <v>0</v>
      </c>
      <c r="M89" s="408">
        <f t="shared" si="2"/>
        <v>0</v>
      </c>
      <c r="N89" s="408">
        <f t="shared" si="27"/>
        <v>0</v>
      </c>
      <c r="O89" s="408">
        <f t="shared" si="28"/>
        <v>0</v>
      </c>
      <c r="P89" s="408">
        <f t="shared" si="5"/>
        <v>0</v>
      </c>
      <c r="Q89" s="409" t="e">
        <f t="shared" si="37"/>
        <v>#DIV/0!</v>
      </c>
    </row>
    <row r="90" spans="1:17" s="403" customFormat="1" ht="24.75" customHeight="1">
      <c r="A90" s="405" t="s">
        <v>490</v>
      </c>
      <c r="B90" s="407" t="s">
        <v>488</v>
      </c>
      <c r="C90" s="405" t="s">
        <v>27</v>
      </c>
      <c r="D90" s="405" t="s">
        <v>489</v>
      </c>
      <c r="E90" s="406" t="s">
        <v>25</v>
      </c>
      <c r="F90" s="402">
        <v>1</v>
      </c>
      <c r="G90" s="408"/>
      <c r="H90" s="408"/>
      <c r="I90" s="408">
        <f t="shared" si="25"/>
        <v>0</v>
      </c>
      <c r="J90" s="408">
        <f t="shared" si="26"/>
        <v>0</v>
      </c>
      <c r="K90" s="408">
        <f t="shared" si="35"/>
        <v>0</v>
      </c>
      <c r="L90" s="408">
        <f t="shared" si="35"/>
        <v>0</v>
      </c>
      <c r="M90" s="408">
        <f t="shared" si="2"/>
        <v>0</v>
      </c>
      <c r="N90" s="408">
        <f t="shared" si="27"/>
        <v>0</v>
      </c>
      <c r="O90" s="408">
        <f t="shared" si="28"/>
        <v>0</v>
      </c>
      <c r="P90" s="408">
        <f t="shared" si="5"/>
        <v>0</v>
      </c>
      <c r="Q90" s="409" t="e">
        <f t="shared" si="37"/>
        <v>#DIV/0!</v>
      </c>
    </row>
    <row r="91" spans="1:17" s="403" customFormat="1" ht="24.75" customHeight="1">
      <c r="A91" s="410" t="s">
        <v>493</v>
      </c>
      <c r="B91" s="412" t="s">
        <v>491</v>
      </c>
      <c r="C91" s="410" t="s">
        <v>27</v>
      </c>
      <c r="D91" s="410" t="s">
        <v>492</v>
      </c>
      <c r="E91" s="411" t="s">
        <v>25</v>
      </c>
      <c r="F91" s="389">
        <v>7</v>
      </c>
      <c r="G91" s="413"/>
      <c r="H91" s="413"/>
      <c r="I91" s="413">
        <f t="shared" si="25"/>
        <v>0</v>
      </c>
      <c r="J91" s="413">
        <f t="shared" si="26"/>
        <v>0</v>
      </c>
      <c r="K91" s="413">
        <f t="shared" si="35"/>
        <v>0</v>
      </c>
      <c r="L91" s="413">
        <f t="shared" si="35"/>
        <v>0</v>
      </c>
      <c r="M91" s="413">
        <f t="shared" si="2"/>
        <v>0</v>
      </c>
      <c r="N91" s="413">
        <f t="shared" si="27"/>
        <v>0</v>
      </c>
      <c r="O91" s="413">
        <f t="shared" si="28"/>
        <v>0</v>
      </c>
      <c r="P91" s="413">
        <f t="shared" si="5"/>
        <v>0</v>
      </c>
      <c r="Q91" s="414" t="e">
        <f t="shared" si="37"/>
        <v>#DIV/0!</v>
      </c>
    </row>
    <row r="92" spans="1:17" s="403" customFormat="1" ht="24.75" customHeight="1">
      <c r="A92" s="410" t="s">
        <v>550</v>
      </c>
      <c r="B92" s="412" t="s">
        <v>494</v>
      </c>
      <c r="C92" s="410" t="s">
        <v>27</v>
      </c>
      <c r="D92" s="410" t="s">
        <v>495</v>
      </c>
      <c r="E92" s="411" t="s">
        <v>25</v>
      </c>
      <c r="F92" s="389">
        <v>3</v>
      </c>
      <c r="G92" s="413"/>
      <c r="H92" s="413"/>
      <c r="I92" s="413">
        <f t="shared" si="25"/>
        <v>0</v>
      </c>
      <c r="J92" s="413">
        <f t="shared" si="26"/>
        <v>0</v>
      </c>
      <c r="K92" s="413">
        <f t="shared" si="35"/>
        <v>0</v>
      </c>
      <c r="L92" s="413">
        <f t="shared" si="35"/>
        <v>0</v>
      </c>
      <c r="M92" s="413">
        <f t="shared" si="2"/>
        <v>0</v>
      </c>
      <c r="N92" s="413">
        <f t="shared" si="27"/>
        <v>0</v>
      </c>
      <c r="O92" s="413">
        <f t="shared" si="28"/>
        <v>0</v>
      </c>
      <c r="P92" s="413">
        <f t="shared" si="5"/>
        <v>0</v>
      </c>
      <c r="Q92" s="414" t="e">
        <f t="shared" si="37"/>
        <v>#DIV/0!</v>
      </c>
    </row>
    <row r="93" spans="1:17" s="434" customFormat="1" ht="24.75" customHeight="1">
      <c r="A93" s="452" t="s">
        <v>578</v>
      </c>
      <c r="B93" s="460" t="s">
        <v>571</v>
      </c>
      <c r="C93" s="458" t="s">
        <v>23</v>
      </c>
      <c r="D93" s="458" t="s">
        <v>572</v>
      </c>
      <c r="E93" s="459" t="s">
        <v>25</v>
      </c>
      <c r="F93" s="402">
        <v>1</v>
      </c>
      <c r="G93" s="450"/>
      <c r="H93" s="450"/>
      <c r="I93" s="461">
        <f t="shared" si="25"/>
        <v>0</v>
      </c>
      <c r="J93" s="461">
        <f t="shared" si="26"/>
        <v>0</v>
      </c>
      <c r="K93" s="461">
        <f t="shared" si="35"/>
        <v>0</v>
      </c>
      <c r="L93" s="461">
        <f t="shared" si="35"/>
        <v>0</v>
      </c>
      <c r="M93" s="461">
        <f t="shared" si="2"/>
        <v>0</v>
      </c>
      <c r="N93" s="461">
        <f t="shared" si="27"/>
        <v>0</v>
      </c>
      <c r="O93" s="461">
        <f t="shared" si="28"/>
        <v>0</v>
      </c>
      <c r="P93" s="461">
        <f t="shared" si="5"/>
        <v>0</v>
      </c>
      <c r="Q93" s="462" t="e">
        <f t="shared" si="37"/>
        <v>#DIV/0!</v>
      </c>
    </row>
    <row r="94" spans="1:17" s="434" customFormat="1" ht="24.75" customHeight="1">
      <c r="A94" s="452" t="s">
        <v>584</v>
      </c>
      <c r="B94" s="460" t="s">
        <v>579</v>
      </c>
      <c r="C94" s="458" t="s">
        <v>23</v>
      </c>
      <c r="D94" s="458" t="s">
        <v>616</v>
      </c>
      <c r="E94" s="459" t="s">
        <v>25</v>
      </c>
      <c r="F94" s="402">
        <v>1</v>
      </c>
      <c r="G94" s="450"/>
      <c r="H94" s="450"/>
      <c r="I94" s="461">
        <f t="shared" si="25"/>
        <v>0</v>
      </c>
      <c r="J94" s="461">
        <f t="shared" si="26"/>
        <v>0</v>
      </c>
      <c r="K94" s="461">
        <f t="shared" si="35"/>
        <v>0</v>
      </c>
      <c r="L94" s="461">
        <f t="shared" si="35"/>
        <v>0</v>
      </c>
      <c r="M94" s="461">
        <f t="shared" si="2"/>
        <v>0</v>
      </c>
      <c r="N94" s="461">
        <f t="shared" si="27"/>
        <v>0</v>
      </c>
      <c r="O94" s="461">
        <f t="shared" si="28"/>
        <v>0</v>
      </c>
      <c r="P94" s="461">
        <f t="shared" si="5"/>
        <v>0</v>
      </c>
      <c r="Q94" s="462" t="e">
        <f t="shared" si="37"/>
        <v>#DIV/0!</v>
      </c>
    </row>
    <row r="95" spans="1:17" s="434" customFormat="1" ht="24.75" customHeight="1">
      <c r="A95" s="452" t="s">
        <v>589</v>
      </c>
      <c r="B95" s="460" t="s">
        <v>585</v>
      </c>
      <c r="C95" s="458" t="s">
        <v>23</v>
      </c>
      <c r="D95" s="458" t="s">
        <v>586</v>
      </c>
      <c r="E95" s="459" t="s">
        <v>25</v>
      </c>
      <c r="F95" s="402">
        <v>1</v>
      </c>
      <c r="G95" s="450"/>
      <c r="H95" s="450"/>
      <c r="I95" s="461">
        <f t="shared" si="25"/>
        <v>0</v>
      </c>
      <c r="J95" s="461">
        <f t="shared" si="26"/>
        <v>0</v>
      </c>
      <c r="K95" s="461">
        <f t="shared" si="35"/>
        <v>0</v>
      </c>
      <c r="L95" s="461">
        <f t="shared" si="35"/>
        <v>0</v>
      </c>
      <c r="M95" s="461">
        <f t="shared" si="2"/>
        <v>0</v>
      </c>
      <c r="N95" s="461">
        <f t="shared" ref="N95:N97" si="38">ROUND((K95*F95),2)</f>
        <v>0</v>
      </c>
      <c r="O95" s="461">
        <f t="shared" si="28"/>
        <v>0</v>
      </c>
      <c r="P95" s="461">
        <f t="shared" si="5"/>
        <v>0</v>
      </c>
      <c r="Q95" s="462" t="e">
        <f t="shared" si="37"/>
        <v>#DIV/0!</v>
      </c>
    </row>
    <row r="96" spans="1:17" s="455" customFormat="1" ht="24.75" customHeight="1">
      <c r="A96" s="458" t="s">
        <v>590</v>
      </c>
      <c r="B96" s="466" t="s">
        <v>592</v>
      </c>
      <c r="C96" s="464" t="s">
        <v>23</v>
      </c>
      <c r="D96" s="464" t="s">
        <v>593</v>
      </c>
      <c r="E96" s="465" t="s">
        <v>25</v>
      </c>
      <c r="F96" s="402">
        <v>5</v>
      </c>
      <c r="G96" s="467"/>
      <c r="H96" s="461"/>
      <c r="I96" s="467">
        <f t="shared" si="25"/>
        <v>0</v>
      </c>
      <c r="J96" s="467">
        <f t="shared" si="26"/>
        <v>0</v>
      </c>
      <c r="K96" s="467">
        <f t="shared" si="35"/>
        <v>0</v>
      </c>
      <c r="L96" s="467">
        <f t="shared" si="35"/>
        <v>0</v>
      </c>
      <c r="M96" s="467">
        <f t="shared" si="2"/>
        <v>0</v>
      </c>
      <c r="N96" s="467">
        <f t="shared" si="38"/>
        <v>0</v>
      </c>
      <c r="O96" s="467">
        <f t="shared" si="28"/>
        <v>0</v>
      </c>
      <c r="P96" s="467">
        <f t="shared" si="5"/>
        <v>0</v>
      </c>
      <c r="Q96" s="468" t="e">
        <f t="shared" si="37"/>
        <v>#DIV/0!</v>
      </c>
    </row>
    <row r="97" spans="1:17" s="455" customFormat="1" ht="24.75" customHeight="1">
      <c r="A97" s="458" t="s">
        <v>591</v>
      </c>
      <c r="B97" s="466" t="s">
        <v>595</v>
      </c>
      <c r="C97" s="464" t="s">
        <v>23</v>
      </c>
      <c r="D97" s="464" t="s">
        <v>596</v>
      </c>
      <c r="E97" s="465" t="s">
        <v>25</v>
      </c>
      <c r="F97" s="402">
        <v>23</v>
      </c>
      <c r="G97" s="467"/>
      <c r="H97" s="461"/>
      <c r="I97" s="467">
        <f>ROUND((G97*$F97),2)</f>
        <v>0</v>
      </c>
      <c r="J97" s="467">
        <f t="shared" si="26"/>
        <v>0</v>
      </c>
      <c r="K97" s="467">
        <f t="shared" si="35"/>
        <v>0</v>
      </c>
      <c r="L97" s="467">
        <f t="shared" si="35"/>
        <v>0</v>
      </c>
      <c r="M97" s="467">
        <f t="shared" si="2"/>
        <v>0</v>
      </c>
      <c r="N97" s="467">
        <f t="shared" si="38"/>
        <v>0</v>
      </c>
      <c r="O97" s="467">
        <f t="shared" si="28"/>
        <v>0</v>
      </c>
      <c r="P97" s="467">
        <f t="shared" si="5"/>
        <v>0</v>
      </c>
      <c r="Q97" s="468" t="e">
        <f t="shared" si="37"/>
        <v>#DIV/0!</v>
      </c>
    </row>
    <row r="98" spans="1:17" ht="24" customHeight="1">
      <c r="A98" s="69">
        <v>10</v>
      </c>
      <c r="B98" s="69"/>
      <c r="C98" s="69"/>
      <c r="D98" s="69" t="s">
        <v>92</v>
      </c>
      <c r="E98" s="69"/>
      <c r="F98" s="84"/>
      <c r="G98" s="84"/>
      <c r="H98" s="84"/>
      <c r="I98" s="84"/>
      <c r="J98" s="84"/>
      <c r="K98" s="84"/>
      <c r="L98" s="84"/>
      <c r="M98" s="84"/>
      <c r="N98" s="84"/>
      <c r="O98" s="84"/>
      <c r="P98" s="84">
        <f>SUM(P99)</f>
        <v>0</v>
      </c>
      <c r="Q98" s="106" t="e">
        <f>P98/$G$104</f>
        <v>#DIV/0!</v>
      </c>
    </row>
    <row r="99" spans="1:17" ht="26.1" customHeight="1">
      <c r="A99" s="67" t="s">
        <v>467</v>
      </c>
      <c r="B99" s="65"/>
      <c r="C99" s="67" t="s">
        <v>205</v>
      </c>
      <c r="D99" s="410" t="s">
        <v>93</v>
      </c>
      <c r="E99" s="66" t="s">
        <v>36</v>
      </c>
      <c r="F99" s="85">
        <v>24</v>
      </c>
      <c r="G99" s="64"/>
      <c r="H99" s="64"/>
      <c r="I99" s="64">
        <f t="shared" si="25"/>
        <v>0</v>
      </c>
      <c r="J99" s="85">
        <f t="shared" si="26"/>
        <v>0</v>
      </c>
      <c r="K99" s="64">
        <f t="shared" si="35"/>
        <v>0</v>
      </c>
      <c r="L99" s="64">
        <f t="shared" si="35"/>
        <v>0</v>
      </c>
      <c r="M99" s="64">
        <f t="shared" si="2"/>
        <v>0</v>
      </c>
      <c r="N99" s="64">
        <f>ROUND((K99*F99),2)</f>
        <v>0</v>
      </c>
      <c r="O99" s="64">
        <f t="shared" si="28"/>
        <v>0</v>
      </c>
      <c r="P99" s="64">
        <f t="shared" si="5"/>
        <v>0</v>
      </c>
      <c r="Q99" s="63" t="e">
        <f>P99/$G$104</f>
        <v>#DIV/0!</v>
      </c>
    </row>
    <row r="100" spans="1:17" s="474" customFormat="1" ht="24" customHeight="1">
      <c r="A100" s="69">
        <v>11</v>
      </c>
      <c r="B100" s="69"/>
      <c r="C100" s="69"/>
      <c r="D100" s="69" t="s">
        <v>617</v>
      </c>
      <c r="E100" s="69"/>
      <c r="F100" s="84"/>
      <c r="G100" s="84"/>
      <c r="H100" s="84"/>
      <c r="I100" s="84"/>
      <c r="J100" s="84"/>
      <c r="K100" s="84"/>
      <c r="L100" s="84"/>
      <c r="M100" s="84"/>
      <c r="N100" s="84"/>
      <c r="O100" s="84"/>
      <c r="P100" s="84">
        <f>SUM(P101)</f>
        <v>0</v>
      </c>
      <c r="Q100" s="106" t="e">
        <f>P100/$G$104</f>
        <v>#DIV/0!</v>
      </c>
    </row>
    <row r="101" spans="1:17" s="474" customFormat="1" ht="26.1" customHeight="1">
      <c r="A101" s="483" t="s">
        <v>619</v>
      </c>
      <c r="B101" s="472" t="s">
        <v>627</v>
      </c>
      <c r="C101" s="483" t="s">
        <v>23</v>
      </c>
      <c r="D101" s="483" t="s">
        <v>618</v>
      </c>
      <c r="E101" s="471" t="s">
        <v>36</v>
      </c>
      <c r="F101" s="402">
        <v>1045</v>
      </c>
      <c r="G101" s="473"/>
      <c r="H101" s="473"/>
      <c r="I101" s="473">
        <f t="shared" ref="I101" si="39">ROUND((G101*$F101),2)</f>
        <v>0</v>
      </c>
      <c r="J101" s="473">
        <f t="shared" ref="J101" si="40">ROUND((H101*$F101),2)</f>
        <v>0</v>
      </c>
      <c r="K101" s="473">
        <f t="shared" ref="K101" si="41">ROUND((G101*(1+$K$2)),2)</f>
        <v>0</v>
      </c>
      <c r="L101" s="473">
        <f t="shared" ref="L101" si="42">ROUND((H101*(1+$K$2)),2)</f>
        <v>0</v>
      </c>
      <c r="M101" s="473">
        <f t="shared" ref="M101" si="43">SUM(K101:L101)</f>
        <v>0</v>
      </c>
      <c r="N101" s="473">
        <f>ROUND((K101*F101),2)</f>
        <v>0</v>
      </c>
      <c r="O101" s="473">
        <f t="shared" ref="O101" si="44">ROUND((L101*F101),2)</f>
        <v>0</v>
      </c>
      <c r="P101" s="473">
        <f>N101+O101</f>
        <v>0</v>
      </c>
      <c r="Q101" s="468" t="e">
        <f>P101/$G$104</f>
        <v>#DIV/0!</v>
      </c>
    </row>
    <row r="102" spans="1:17" ht="17.25" customHeight="1">
      <c r="A102" s="555" t="s">
        <v>186</v>
      </c>
      <c r="B102" s="555"/>
      <c r="C102" s="555"/>
      <c r="D102" s="555"/>
      <c r="E102" s="555"/>
      <c r="F102" s="555"/>
      <c r="G102" s="111"/>
      <c r="H102" s="111"/>
      <c r="I102" s="111" t="s">
        <v>626</v>
      </c>
      <c r="J102" s="111">
        <f>SUM(J7:J101)</f>
        <v>0</v>
      </c>
      <c r="K102" s="111"/>
      <c r="L102" s="111"/>
      <c r="M102" s="111"/>
      <c r="N102" s="111">
        <f>SUM(N6:N101)</f>
        <v>0</v>
      </c>
      <c r="O102" s="111">
        <f>SUM(O7:O101)</f>
        <v>0</v>
      </c>
      <c r="P102" s="111">
        <f>SUM(P98,P56,P41,P34,P30,P26,P20,P11,P6,P83,P100)</f>
        <v>0</v>
      </c>
      <c r="Q102" s="111"/>
    </row>
    <row r="103" spans="1:17" s="59" customFormat="1" ht="23.25" customHeight="1">
      <c r="A103" s="556" t="s">
        <v>187</v>
      </c>
      <c r="B103" s="556"/>
      <c r="C103" s="556"/>
      <c r="D103" s="556"/>
      <c r="E103" s="556"/>
      <c r="F103" s="556"/>
      <c r="G103" s="107"/>
      <c r="H103" s="107"/>
      <c r="I103" s="107"/>
      <c r="J103" s="107"/>
      <c r="K103" s="107"/>
      <c r="L103" s="107"/>
      <c r="M103" s="107"/>
      <c r="N103" s="116" t="e">
        <f>N102/P102</f>
        <v>#DIV/0!</v>
      </c>
      <c r="O103" s="116" t="e">
        <f>O102/P102</f>
        <v>#DIV/0!</v>
      </c>
      <c r="P103" s="107"/>
      <c r="Q103" s="107"/>
    </row>
    <row r="104" spans="1:17" s="59" customFormat="1" ht="17.25" customHeight="1">
      <c r="A104" s="557" t="s">
        <v>250</v>
      </c>
      <c r="B104" s="557"/>
      <c r="C104" s="557"/>
      <c r="D104" s="557"/>
      <c r="E104" s="557"/>
      <c r="F104" s="557"/>
      <c r="G104" s="560">
        <f>P102</f>
        <v>0</v>
      </c>
      <c r="H104" s="561"/>
      <c r="I104" s="561"/>
      <c r="J104" s="561"/>
      <c r="K104" s="561"/>
      <c r="L104" s="561"/>
      <c r="M104" s="561"/>
      <c r="N104" s="561"/>
      <c r="O104" s="561"/>
      <c r="P104" s="561"/>
      <c r="Q104" s="561"/>
    </row>
    <row r="105" spans="1:17" s="59" customFormat="1">
      <c r="A105" s="562"/>
      <c r="B105" s="562"/>
      <c r="C105" s="562"/>
      <c r="D105" s="562"/>
      <c r="E105" s="562"/>
      <c r="F105" s="562"/>
      <c r="G105" s="79"/>
      <c r="H105" s="79"/>
      <c r="I105" s="79"/>
      <c r="J105" s="60"/>
      <c r="K105" s="60"/>
      <c r="L105" s="60"/>
      <c r="M105" s="60"/>
      <c r="N105" s="60"/>
      <c r="O105" s="60"/>
      <c r="P105" s="60"/>
      <c r="Q105" s="60"/>
    </row>
    <row r="106" spans="1:17">
      <c r="A106" s="58"/>
      <c r="B106" s="58"/>
      <c r="C106" s="58"/>
      <c r="D106" s="58"/>
      <c r="E106" s="58"/>
      <c r="F106" s="88"/>
      <c r="G106" s="79"/>
      <c r="H106" s="79"/>
      <c r="I106" s="79"/>
      <c r="J106" s="61"/>
      <c r="K106" s="58"/>
      <c r="L106" s="58"/>
      <c r="M106" s="57"/>
      <c r="N106" s="57"/>
      <c r="O106" s="57"/>
      <c r="P106" s="57"/>
      <c r="Q106" s="57"/>
    </row>
    <row r="107" spans="1:17">
      <c r="A107" s="553"/>
      <c r="B107" s="553"/>
      <c r="C107" s="553"/>
      <c r="D107" s="38"/>
      <c r="E107" s="57"/>
      <c r="F107" s="87"/>
      <c r="G107" s="60"/>
      <c r="H107" s="60"/>
      <c r="I107" s="60"/>
      <c r="J107" s="60"/>
      <c r="K107" s="57"/>
      <c r="L107" s="57"/>
      <c r="M107" s="544"/>
      <c r="N107" s="553"/>
      <c r="O107" s="554"/>
      <c r="P107" s="553"/>
      <c r="Q107" s="553"/>
    </row>
    <row r="108" spans="1:17">
      <c r="A108" s="553"/>
      <c r="B108" s="553"/>
      <c r="C108" s="553"/>
      <c r="D108" s="38"/>
      <c r="E108" s="57"/>
      <c r="F108" s="87"/>
      <c r="G108" s="60"/>
      <c r="H108" s="60"/>
      <c r="I108" s="60"/>
      <c r="J108" s="60"/>
      <c r="K108" s="57"/>
      <c r="L108" s="57"/>
      <c r="M108" s="544"/>
      <c r="N108" s="553"/>
      <c r="O108" s="554"/>
      <c r="P108" s="553"/>
      <c r="Q108" s="553"/>
    </row>
    <row r="109" spans="1:17">
      <c r="A109" s="553"/>
      <c r="B109" s="553"/>
      <c r="C109" s="553"/>
      <c r="D109" s="38"/>
      <c r="E109" s="57"/>
      <c r="F109" s="87"/>
      <c r="G109" s="60"/>
      <c r="H109" s="60"/>
      <c r="I109" s="60"/>
      <c r="J109" s="60"/>
      <c r="K109" s="57"/>
      <c r="L109" s="57"/>
      <c r="M109" s="544"/>
      <c r="N109" s="553"/>
      <c r="O109" s="554"/>
      <c r="P109" s="553"/>
      <c r="Q109" s="553"/>
    </row>
    <row r="110" spans="1:17" ht="69.95" customHeight="1">
      <c r="A110" s="552" t="s">
        <v>693</v>
      </c>
      <c r="B110" s="546"/>
      <c r="C110" s="546"/>
      <c r="D110" s="546"/>
      <c r="E110" s="546"/>
      <c r="F110" s="546"/>
      <c r="G110" s="546"/>
      <c r="H110" s="546"/>
      <c r="I110" s="546"/>
      <c r="J110" s="546"/>
      <c r="K110" s="546"/>
      <c r="L110" s="546"/>
      <c r="M110" s="546"/>
      <c r="N110" s="546"/>
      <c r="O110" s="546"/>
      <c r="P110" s="546"/>
      <c r="Q110" s="546"/>
    </row>
  </sheetData>
  <mergeCells count="34">
    <mergeCell ref="A102:F102"/>
    <mergeCell ref="A103:F103"/>
    <mergeCell ref="A104:F104"/>
    <mergeCell ref="N4:P4"/>
    <mergeCell ref="A109:C109"/>
    <mergeCell ref="M109:N109"/>
    <mergeCell ref="O109:Q109"/>
    <mergeCell ref="G4:H4"/>
    <mergeCell ref="I4:J4"/>
    <mergeCell ref="Q4:Q5"/>
    <mergeCell ref="G104:Q104"/>
    <mergeCell ref="A105:F105"/>
    <mergeCell ref="A110:Q110"/>
    <mergeCell ref="A107:C107"/>
    <mergeCell ref="M107:N107"/>
    <mergeCell ref="O107:Q107"/>
    <mergeCell ref="A108:C108"/>
    <mergeCell ref="M108:N108"/>
    <mergeCell ref="O108:Q108"/>
    <mergeCell ref="E1:J1"/>
    <mergeCell ref="K1:M1"/>
    <mergeCell ref="N1:Q1"/>
    <mergeCell ref="E2:J2"/>
    <mergeCell ref="K2:M2"/>
    <mergeCell ref="N2:Q2"/>
    <mergeCell ref="A2:C2"/>
    <mergeCell ref="A3:Q3"/>
    <mergeCell ref="A4:A5"/>
    <mergeCell ref="B4:B5"/>
    <mergeCell ref="C4:C5"/>
    <mergeCell ref="D4:D5"/>
    <mergeCell ref="E4:E5"/>
    <mergeCell ref="F4:F5"/>
    <mergeCell ref="K4:M4"/>
  </mergeCells>
  <pageMargins left="0.51181102362204722" right="0.51181102362204722" top="0.98425196850393704" bottom="0.98425196850393704" header="0.51181102362204722" footer="0.51181102362204722"/>
  <pageSetup paperSize="9" scale="49" fitToHeight="0" orientation="landscape" r:id="rId1"/>
  <headerFooter>
    <oddHeader>&amp;L &amp;CTRIBUNAL REGIONAL DO TRABALHO DA 12 REGIAO
CNPJ: 02.482.005/0001-23 &amp;R</oddHeader>
    <oddFooter xml:space="preserve">&amp;L &amp;CRua Esteves Júnior  - Centro - Florianópolis / SC
 / cpo@trt12.jus.br 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2"/>
  <sheetViews>
    <sheetView workbookViewId="0">
      <selection activeCell="I22" sqref="I22"/>
    </sheetView>
  </sheetViews>
  <sheetFormatPr defaultColWidth="9" defaultRowHeight="14.25"/>
  <cols>
    <col min="1" max="1" width="14.5" style="108" customWidth="1"/>
    <col min="2" max="2" width="28.75" style="108" customWidth="1"/>
    <col min="3" max="6" width="16.75" style="108" customWidth="1"/>
    <col min="7" max="7" width="16.75" style="493" customWidth="1"/>
    <col min="8" max="10" width="16.75" style="108" customWidth="1"/>
    <col min="11" max="11" width="16.125" style="108" customWidth="1"/>
    <col min="12" max="16384" width="9" style="108"/>
  </cols>
  <sheetData>
    <row r="1" spans="1:11" ht="15" thickBot="1">
      <c r="A1" s="117"/>
      <c r="B1" s="118"/>
      <c r="C1" s="119"/>
      <c r="D1" s="119"/>
      <c r="E1" s="119"/>
      <c r="F1" s="119"/>
      <c r="G1" s="119"/>
      <c r="H1" s="119"/>
      <c r="I1" s="119"/>
      <c r="J1" s="119"/>
      <c r="K1" s="119"/>
    </row>
    <row r="2" spans="1:11" ht="18">
      <c r="A2" s="563" t="s">
        <v>235</v>
      </c>
      <c r="B2" s="564"/>
      <c r="C2" s="564"/>
      <c r="D2" s="565"/>
      <c r="E2" s="233"/>
      <c r="F2" s="145" t="s">
        <v>236</v>
      </c>
      <c r="G2" s="503"/>
      <c r="H2" s="385" t="s">
        <v>695</v>
      </c>
    </row>
    <row r="3" spans="1:11" ht="18">
      <c r="A3" s="120" t="s">
        <v>237</v>
      </c>
      <c r="B3" s="566" t="str">
        <f>'[1]PLANILHA ORÇAMENTÁRIA'!E3</f>
        <v>TRIBUNAL REGIONAL DO TRABALHO 12º REGIÃO/SC</v>
      </c>
      <c r="C3" s="566"/>
      <c r="D3" s="567"/>
      <c r="E3" s="121"/>
      <c r="F3" s="146" t="s">
        <v>238</v>
      </c>
      <c r="G3" s="504"/>
      <c r="H3" s="242">
        <v>45036</v>
      </c>
    </row>
    <row r="4" spans="1:11" ht="18">
      <c r="A4" s="122" t="s">
        <v>239</v>
      </c>
      <c r="B4" s="568" t="s">
        <v>694</v>
      </c>
      <c r="C4" s="568"/>
      <c r="D4" s="569"/>
      <c r="E4" s="123"/>
      <c r="F4" s="147" t="s">
        <v>240</v>
      </c>
      <c r="G4" s="505"/>
      <c r="H4" s="242">
        <v>45079</v>
      </c>
    </row>
    <row r="5" spans="1:11" ht="15.75">
      <c r="A5" s="122" t="s">
        <v>241</v>
      </c>
      <c r="B5" s="568" t="s">
        <v>251</v>
      </c>
      <c r="C5" s="568"/>
      <c r="D5" s="569"/>
      <c r="E5" s="123"/>
      <c r="F5" s="148"/>
      <c r="G5" s="506"/>
      <c r="H5" s="243"/>
    </row>
    <row r="6" spans="1:11" ht="16.5" thickBot="1">
      <c r="A6" s="124" t="s">
        <v>206</v>
      </c>
      <c r="B6" s="574" t="s">
        <v>252</v>
      </c>
      <c r="C6" s="574"/>
      <c r="D6" s="575"/>
      <c r="E6" s="244"/>
      <c r="F6" s="149"/>
      <c r="G6" s="507"/>
      <c r="H6" s="245"/>
    </row>
    <row r="7" spans="1:11" ht="16.5" thickBot="1">
      <c r="A7" s="576" t="s">
        <v>95</v>
      </c>
      <c r="B7" s="578" t="s">
        <v>242</v>
      </c>
      <c r="C7" s="580" t="s">
        <v>243</v>
      </c>
      <c r="D7" s="125" t="s">
        <v>244</v>
      </c>
      <c r="E7" s="126" t="s">
        <v>245</v>
      </c>
      <c r="F7" s="125" t="s">
        <v>246</v>
      </c>
      <c r="G7" s="125" t="s">
        <v>661</v>
      </c>
      <c r="H7" s="582" t="s">
        <v>207</v>
      </c>
    </row>
    <row r="8" spans="1:11" ht="15.75">
      <c r="A8" s="577"/>
      <c r="B8" s="579"/>
      <c r="C8" s="581"/>
      <c r="D8" s="127" t="s">
        <v>247</v>
      </c>
      <c r="E8" s="128" t="s">
        <v>247</v>
      </c>
      <c r="F8" s="127" t="s">
        <v>247</v>
      </c>
      <c r="G8" s="127" t="s">
        <v>247</v>
      </c>
      <c r="H8" s="583"/>
    </row>
    <row r="9" spans="1:11" ht="15.75">
      <c r="A9" s="570">
        <v>1</v>
      </c>
      <c r="B9" s="572" t="str">
        <f>'Orçamento Sintético'!D6</f>
        <v>ADMINISTRAÇÃO DA OBRA</v>
      </c>
      <c r="C9" s="129">
        <f>'Orçamento Sintético'!P6</f>
        <v>0</v>
      </c>
      <c r="D9" s="130">
        <f>D10*$C9</f>
        <v>0</v>
      </c>
      <c r="E9" s="130">
        <f t="shared" ref="E9:G9" si="0">E10*$C9</f>
        <v>0</v>
      </c>
      <c r="F9" s="130">
        <f t="shared" si="0"/>
        <v>0</v>
      </c>
      <c r="G9" s="130">
        <f t="shared" si="0"/>
        <v>0</v>
      </c>
      <c r="H9" s="131">
        <f>SUM(D9:G9)</f>
        <v>0</v>
      </c>
    </row>
    <row r="10" spans="1:11" ht="15.75">
      <c r="A10" s="571"/>
      <c r="B10" s="573"/>
      <c r="C10" s="132" t="e">
        <f>'Orçamento Sintético'!Q6</f>
        <v>#DIV/0!</v>
      </c>
      <c r="D10" s="133">
        <v>0.32919999999999999</v>
      </c>
      <c r="E10" s="133">
        <v>0.22359999999999999</v>
      </c>
      <c r="F10" s="133">
        <v>0.22359999999999999</v>
      </c>
      <c r="G10" s="508">
        <v>0.22359999999999999</v>
      </c>
      <c r="H10" s="134">
        <f t="shared" ref="H9:H30" si="1">SUM(D10:G10)</f>
        <v>1</v>
      </c>
    </row>
    <row r="11" spans="1:11" ht="15.75">
      <c r="A11" s="570">
        <v>2</v>
      </c>
      <c r="B11" s="572" t="str">
        <f>'Orçamento Sintético'!D11</f>
        <v>SERVIÇOS GERAIS</v>
      </c>
      <c r="C11" s="129">
        <f>'Orçamento Sintético'!P11</f>
        <v>0</v>
      </c>
      <c r="D11" s="130">
        <f>D12*$C11</f>
        <v>0</v>
      </c>
      <c r="E11" s="130">
        <f t="shared" ref="E11:G11" si="2">E12*$C11</f>
        <v>0</v>
      </c>
      <c r="F11" s="130">
        <f t="shared" si="2"/>
        <v>0</v>
      </c>
      <c r="G11" s="130">
        <f t="shared" si="2"/>
        <v>0</v>
      </c>
      <c r="H11" s="131">
        <f>SUM(D11:G11)</f>
        <v>0</v>
      </c>
    </row>
    <row r="12" spans="1:11" ht="15.75">
      <c r="A12" s="571"/>
      <c r="B12" s="573"/>
      <c r="C12" s="132" t="e">
        <f>'Orçamento Sintético'!Q11</f>
        <v>#DIV/0!</v>
      </c>
      <c r="D12" s="133">
        <v>0.46700000000000003</v>
      </c>
      <c r="E12" s="133">
        <v>0.17680000000000001</v>
      </c>
      <c r="F12" s="133">
        <v>0.17680000000000001</v>
      </c>
      <c r="G12" s="508">
        <v>0.1794</v>
      </c>
      <c r="H12" s="134">
        <f t="shared" si="1"/>
        <v>1</v>
      </c>
    </row>
    <row r="13" spans="1:11" ht="15.75">
      <c r="A13" s="570">
        <v>3</v>
      </c>
      <c r="B13" s="572" t="str">
        <f>'Orçamento Sintético'!D20</f>
        <v>PINTURA INTERNA</v>
      </c>
      <c r="C13" s="129">
        <f>'Orçamento Sintético'!P20</f>
        <v>0</v>
      </c>
      <c r="D13" s="130">
        <f>D14*$C13</f>
        <v>0</v>
      </c>
      <c r="E13" s="130">
        <f>E14*$C13</f>
        <v>0</v>
      </c>
      <c r="F13" s="130">
        <f t="shared" ref="F13:G13" si="3">F14*$C13</f>
        <v>0</v>
      </c>
      <c r="G13" s="130">
        <f t="shared" si="3"/>
        <v>0</v>
      </c>
      <c r="H13" s="131">
        <f>SUM(D13:G13)</f>
        <v>0</v>
      </c>
    </row>
    <row r="14" spans="1:11" ht="15.75">
      <c r="A14" s="571"/>
      <c r="B14" s="573"/>
      <c r="C14" s="132" t="e">
        <f>'Orçamento Sintético'!Q20</f>
        <v>#DIV/0!</v>
      </c>
      <c r="D14" s="133">
        <v>0.2056</v>
      </c>
      <c r="E14" s="133"/>
      <c r="F14" s="133">
        <v>0.3972</v>
      </c>
      <c r="G14" s="508">
        <v>0.3972</v>
      </c>
      <c r="H14" s="134">
        <f t="shared" si="1"/>
        <v>1</v>
      </c>
    </row>
    <row r="15" spans="1:11" ht="15.75">
      <c r="A15" s="570">
        <v>4</v>
      </c>
      <c r="B15" s="572" t="str">
        <f>'Orçamento Sintético'!D26</f>
        <v>PISOS</v>
      </c>
      <c r="C15" s="129">
        <f>'Orçamento Sintético'!P26</f>
        <v>0</v>
      </c>
      <c r="D15" s="130">
        <f>D16*$C15</f>
        <v>0</v>
      </c>
      <c r="E15" s="130">
        <f t="shared" ref="E15:G15" si="4">E16*$C15</f>
        <v>0</v>
      </c>
      <c r="F15" s="130">
        <f t="shared" si="4"/>
        <v>0</v>
      </c>
      <c r="G15" s="130">
        <f t="shared" si="4"/>
        <v>0</v>
      </c>
      <c r="H15" s="131">
        <f>SUM(D15:G15)</f>
        <v>0</v>
      </c>
    </row>
    <row r="16" spans="1:11" ht="15.75">
      <c r="A16" s="571"/>
      <c r="B16" s="573"/>
      <c r="C16" s="132" t="e">
        <f>'Orçamento Sintético'!Q26</f>
        <v>#DIV/0!</v>
      </c>
      <c r="D16" s="133">
        <v>0.5</v>
      </c>
      <c r="E16" s="133">
        <v>0.5</v>
      </c>
      <c r="F16" s="133"/>
      <c r="G16" s="508"/>
      <c r="H16" s="134">
        <f t="shared" si="1"/>
        <v>1</v>
      </c>
    </row>
    <row r="17" spans="1:8" ht="15.75">
      <c r="A17" s="570">
        <v>5</v>
      </c>
      <c r="B17" s="572" t="str">
        <f>'Orçamento Sintético'!D30</f>
        <v>FORRO</v>
      </c>
      <c r="C17" s="129">
        <f>'Orçamento Sintético'!P30</f>
        <v>0</v>
      </c>
      <c r="D17" s="130">
        <f t="shared" ref="D17:G17" si="5">D18*$C17</f>
        <v>0</v>
      </c>
      <c r="E17" s="130">
        <f t="shared" si="5"/>
        <v>0</v>
      </c>
      <c r="F17" s="130">
        <f t="shared" si="5"/>
        <v>0</v>
      </c>
      <c r="G17" s="130">
        <f t="shared" si="5"/>
        <v>0</v>
      </c>
      <c r="H17" s="131">
        <f>SUM(D17:G17)</f>
        <v>0</v>
      </c>
    </row>
    <row r="18" spans="1:8" ht="15.75">
      <c r="A18" s="571"/>
      <c r="B18" s="573"/>
      <c r="C18" s="132" t="e">
        <f>'Orçamento Sintético'!Q30</f>
        <v>#DIV/0!</v>
      </c>
      <c r="D18" s="133">
        <v>2.5000000000000001E-2</v>
      </c>
      <c r="E18" s="133">
        <v>0.48749999999999999</v>
      </c>
      <c r="F18" s="133">
        <v>0.48749999999999999</v>
      </c>
      <c r="G18" s="508"/>
      <c r="H18" s="134">
        <f t="shared" si="1"/>
        <v>1</v>
      </c>
    </row>
    <row r="19" spans="1:8" ht="15.75">
      <c r="A19" s="570">
        <v>6</v>
      </c>
      <c r="B19" s="572" t="str">
        <f>'Orçamento Sintético'!D34</f>
        <v>DIVISÓRIAS</v>
      </c>
      <c r="C19" s="129">
        <f>'Orçamento Sintético'!P34</f>
        <v>0</v>
      </c>
      <c r="D19" s="130">
        <f>D20*$C19</f>
        <v>0</v>
      </c>
      <c r="E19" s="130">
        <f t="shared" ref="E19:G19" si="6">E20*$C19</f>
        <v>0</v>
      </c>
      <c r="F19" s="130">
        <f t="shared" si="6"/>
        <v>0</v>
      </c>
      <c r="G19" s="130">
        <f t="shared" si="6"/>
        <v>0</v>
      </c>
      <c r="H19" s="131">
        <f>SUM(D19:G19)</f>
        <v>0</v>
      </c>
    </row>
    <row r="20" spans="1:8" ht="15.75">
      <c r="A20" s="571"/>
      <c r="B20" s="573"/>
      <c r="C20" s="132" t="e">
        <f>'Orçamento Sintético'!Q34</f>
        <v>#DIV/0!</v>
      </c>
      <c r="D20" s="133">
        <v>0.04</v>
      </c>
      <c r="E20" s="133">
        <v>0.48</v>
      </c>
      <c r="F20" s="133">
        <v>0.48</v>
      </c>
      <c r="G20" s="508"/>
      <c r="H20" s="134">
        <f t="shared" si="1"/>
        <v>1</v>
      </c>
    </row>
    <row r="21" spans="1:8" ht="15.75" customHeight="1">
      <c r="A21" s="570">
        <v>7</v>
      </c>
      <c r="B21" s="572" t="str">
        <f>'Orçamento Sintético'!D41</f>
        <v>CLIMATIZAÇÃO</v>
      </c>
      <c r="C21" s="129">
        <f>'Orçamento Sintético'!P41</f>
        <v>0</v>
      </c>
      <c r="D21" s="130"/>
      <c r="E21" s="130">
        <f t="shared" ref="E21:G21" si="7">E22*$C21</f>
        <v>0</v>
      </c>
      <c r="F21" s="130">
        <f t="shared" si="7"/>
        <v>0</v>
      </c>
      <c r="G21" s="130">
        <f t="shared" si="7"/>
        <v>0</v>
      </c>
      <c r="H21" s="131">
        <f>SUM(D21:G21)</f>
        <v>0</v>
      </c>
    </row>
    <row r="22" spans="1:8" ht="15.75">
      <c r="A22" s="571"/>
      <c r="B22" s="573"/>
      <c r="C22" s="132" t="e">
        <f>'Orçamento Sintético'!Q41</f>
        <v>#DIV/0!</v>
      </c>
      <c r="D22" s="133"/>
      <c r="E22" s="133">
        <v>0.5</v>
      </c>
      <c r="F22" s="133">
        <v>0.5</v>
      </c>
      <c r="G22" s="508"/>
      <c r="H22" s="134">
        <f t="shared" si="1"/>
        <v>1</v>
      </c>
    </row>
    <row r="23" spans="1:8" ht="15.75" customHeight="1">
      <c r="A23" s="570">
        <v>8</v>
      </c>
      <c r="B23" s="572" t="str">
        <f>'Orçamento Sintético'!D56</f>
        <v>INSTALAÇÕES ELÉTRICAS E TELECOM</v>
      </c>
      <c r="C23" s="129">
        <f>'Orçamento Sintético'!P56</f>
        <v>0</v>
      </c>
      <c r="D23" s="130">
        <f>D24*$C23</f>
        <v>0</v>
      </c>
      <c r="E23" s="130">
        <f t="shared" ref="E23:G25" si="8">E24*$C23</f>
        <v>0</v>
      </c>
      <c r="F23" s="130">
        <f t="shared" si="8"/>
        <v>0</v>
      </c>
      <c r="G23" s="130">
        <f t="shared" si="8"/>
        <v>0</v>
      </c>
      <c r="H23" s="131">
        <f>SUM(D23:G23)</f>
        <v>0</v>
      </c>
    </row>
    <row r="24" spans="1:8" ht="15.75">
      <c r="A24" s="571"/>
      <c r="B24" s="573"/>
      <c r="C24" s="132" t="e">
        <f>'Orçamento Sintético'!Q56</f>
        <v>#DIV/0!</v>
      </c>
      <c r="D24" s="133">
        <v>0.33329999999999999</v>
      </c>
      <c r="E24" s="133">
        <v>0.33329999999999999</v>
      </c>
      <c r="F24" s="133">
        <v>0.33339999999999997</v>
      </c>
      <c r="G24" s="508"/>
      <c r="H24" s="134">
        <f t="shared" si="1"/>
        <v>1</v>
      </c>
    </row>
    <row r="25" spans="1:8" s="463" customFormat="1" ht="15.75">
      <c r="A25" s="570">
        <v>9</v>
      </c>
      <c r="B25" s="586" t="str">
        <f>'Orçamento Sintético'!D83</f>
        <v>INSTALAÇÕES PREVENTIVAS CONTRA INCÊNDIO</v>
      </c>
      <c r="C25" s="129">
        <f>'Orçamento Sintético'!P83</f>
        <v>0</v>
      </c>
      <c r="D25" s="130">
        <f>D26*$C25</f>
        <v>0</v>
      </c>
      <c r="E25" s="130">
        <f t="shared" si="8"/>
        <v>0</v>
      </c>
      <c r="F25" s="130">
        <f t="shared" si="8"/>
        <v>0</v>
      </c>
      <c r="G25" s="130">
        <f t="shared" si="8"/>
        <v>0</v>
      </c>
      <c r="H25" s="131">
        <f>SUM(D25:G25)</f>
        <v>0</v>
      </c>
    </row>
    <row r="26" spans="1:8" s="463" customFormat="1" ht="15.75">
      <c r="A26" s="571"/>
      <c r="B26" s="587"/>
      <c r="C26" s="469" t="e">
        <f>'Orçamento Sintético'!Q83</f>
        <v>#DIV/0!</v>
      </c>
      <c r="D26" s="133"/>
      <c r="E26" s="133">
        <v>0.05</v>
      </c>
      <c r="F26" s="133">
        <v>0.95</v>
      </c>
      <c r="G26" s="508"/>
      <c r="H26" s="134">
        <f t="shared" si="1"/>
        <v>1</v>
      </c>
    </row>
    <row r="27" spans="1:8" ht="15.75">
      <c r="A27" s="570">
        <v>10</v>
      </c>
      <c r="B27" s="572" t="str">
        <f>'Orçamento Sintético'!D98</f>
        <v>PERSIANAS</v>
      </c>
      <c r="C27" s="129">
        <f>'Orçamento Sintético'!P98</f>
        <v>0</v>
      </c>
      <c r="D27" s="130">
        <f>D28*$C27</f>
        <v>0</v>
      </c>
      <c r="E27" s="130">
        <f t="shared" ref="E27:G29" si="9">E28*$C27</f>
        <v>0</v>
      </c>
      <c r="F27" s="130">
        <f t="shared" si="9"/>
        <v>0</v>
      </c>
      <c r="G27" s="130">
        <f t="shared" si="9"/>
        <v>0</v>
      </c>
      <c r="H27" s="131">
        <f t="shared" si="1"/>
        <v>0</v>
      </c>
    </row>
    <row r="28" spans="1:8" ht="15.75">
      <c r="A28" s="571"/>
      <c r="B28" s="573"/>
      <c r="C28" s="132" t="e">
        <f>'Orçamento Sintético'!Q98</f>
        <v>#DIV/0!</v>
      </c>
      <c r="D28" s="133"/>
      <c r="E28" s="133"/>
      <c r="F28" s="133"/>
      <c r="G28" s="508">
        <v>1</v>
      </c>
      <c r="H28" s="134">
        <f t="shared" si="1"/>
        <v>1</v>
      </c>
    </row>
    <row r="29" spans="1:8" s="480" customFormat="1" ht="15.75">
      <c r="A29" s="570">
        <v>11</v>
      </c>
      <c r="B29" s="586" t="str">
        <f>'Orçamento Sintético'!D100</f>
        <v>DESPESAS FINAIS</v>
      </c>
      <c r="C29" s="129">
        <f>'Orçamento Sintético'!P100</f>
        <v>0</v>
      </c>
      <c r="D29" s="130">
        <f>D30*$C29</f>
        <v>0</v>
      </c>
      <c r="E29" s="130">
        <f t="shared" si="9"/>
        <v>0</v>
      </c>
      <c r="F29" s="130">
        <f t="shared" si="9"/>
        <v>0</v>
      </c>
      <c r="G29" s="130">
        <f t="shared" si="9"/>
        <v>0</v>
      </c>
      <c r="H29" s="131">
        <f t="shared" si="1"/>
        <v>0</v>
      </c>
    </row>
    <row r="30" spans="1:8" s="480" customFormat="1" ht="16.5" thickBot="1">
      <c r="A30" s="571"/>
      <c r="B30" s="587"/>
      <c r="C30" s="469" t="e">
        <f>'Orçamento Sintético'!Q100</f>
        <v>#DIV/0!</v>
      </c>
      <c r="D30" s="133"/>
      <c r="E30" s="133"/>
      <c r="F30" s="133"/>
      <c r="G30" s="508">
        <v>1</v>
      </c>
      <c r="H30" s="134">
        <f t="shared" si="1"/>
        <v>1</v>
      </c>
    </row>
    <row r="31" spans="1:8" ht="26.25" customHeight="1" thickBot="1">
      <c r="A31" s="135"/>
      <c r="B31" s="136" t="s">
        <v>248</v>
      </c>
      <c r="C31" s="137">
        <f>SUM(C9,C11,C13,C15,C17,C19,C21,C23,C25,C27,C29)</f>
        <v>0</v>
      </c>
      <c r="D31" s="138">
        <f>SUM(D9,D11,D13,D15,D17,D19,D21,D23,D27,D25,D29)</f>
        <v>0</v>
      </c>
      <c r="E31" s="138">
        <f>SUM(E9,E11,E13,E15,E17,E19,E21,E23,E27,E25,E29)</f>
        <v>0</v>
      </c>
      <c r="F31" s="138">
        <f>SUM(F9,F11,F13,F15,F17,F19,F21,F23,F27,F25,F29)</f>
        <v>0</v>
      </c>
      <c r="G31" s="138">
        <f>SUM(G9,G11,G13,G15,G17,G19,G21,G23,G27,G25,G29)</f>
        <v>0</v>
      </c>
      <c r="H31" s="584">
        <f>SUM(H9,H11,H13,H15,H17,H19,H21,H23,H27,H25,H29)</f>
        <v>0</v>
      </c>
    </row>
    <row r="32" spans="1:8" ht="39" customHeight="1" thickBot="1">
      <c r="A32" s="135"/>
      <c r="B32" s="136" t="s">
        <v>249</v>
      </c>
      <c r="C32" s="139">
        <f>C31</f>
        <v>0</v>
      </c>
      <c r="D32" s="140">
        <f>D31</f>
        <v>0</v>
      </c>
      <c r="E32" s="140">
        <f>E31+D32</f>
        <v>0</v>
      </c>
      <c r="F32" s="140">
        <f>F31+E32</f>
        <v>0</v>
      </c>
      <c r="G32" s="140">
        <f>G31+F32</f>
        <v>0</v>
      </c>
      <c r="H32" s="585"/>
    </row>
    <row r="33" spans="1:11" ht="20.25">
      <c r="A33" s="117"/>
      <c r="B33" s="118"/>
      <c r="C33" s="119"/>
      <c r="D33" s="141"/>
      <c r="E33" s="141"/>
      <c r="F33" s="141"/>
      <c r="G33" s="141"/>
      <c r="H33" s="119"/>
    </row>
    <row r="34" spans="1:11" ht="20.25">
      <c r="A34" s="117"/>
      <c r="B34" s="118"/>
      <c r="C34" s="119"/>
      <c r="D34" s="142"/>
      <c r="E34" s="142"/>
      <c r="F34" s="142"/>
      <c r="G34" s="142"/>
      <c r="H34" s="119"/>
    </row>
    <row r="35" spans="1:11">
      <c r="A35" s="117"/>
      <c r="B35" s="118"/>
      <c r="C35" s="119"/>
      <c r="D35" s="143"/>
      <c r="E35" s="143"/>
      <c r="F35" s="143"/>
      <c r="G35" s="143"/>
      <c r="H35" s="119"/>
    </row>
    <row r="36" spans="1:11">
      <c r="A36" s="117"/>
      <c r="B36" s="118"/>
      <c r="C36" s="119"/>
      <c r="D36" s="144"/>
      <c r="E36" s="144"/>
      <c r="F36" s="144"/>
      <c r="G36" s="144"/>
      <c r="H36" s="119"/>
    </row>
    <row r="37" spans="1:11">
      <c r="A37" s="117"/>
      <c r="B37" s="118"/>
      <c r="C37" s="119"/>
      <c r="D37" s="144"/>
      <c r="E37" s="144"/>
      <c r="F37" s="144"/>
      <c r="G37" s="144"/>
      <c r="H37" s="119"/>
    </row>
    <row r="38" spans="1:11">
      <c r="A38" s="117"/>
      <c r="B38" s="118"/>
      <c r="C38" s="119"/>
      <c r="D38" s="119"/>
      <c r="E38" s="119"/>
      <c r="F38" s="119"/>
      <c r="G38" s="119"/>
      <c r="H38" s="119"/>
      <c r="I38" s="119"/>
      <c r="J38" s="119"/>
      <c r="K38" s="119"/>
    </row>
    <row r="39" spans="1:11">
      <c r="A39" s="117"/>
      <c r="B39" s="118"/>
      <c r="C39" s="119"/>
      <c r="D39" s="119"/>
      <c r="E39" s="119"/>
      <c r="F39" s="119"/>
      <c r="G39" s="119"/>
      <c r="H39" s="119"/>
      <c r="I39" s="119"/>
      <c r="J39" s="119"/>
      <c r="K39" s="119"/>
    </row>
    <row r="40" spans="1:11">
      <c r="A40" s="117"/>
      <c r="B40" s="118"/>
      <c r="C40" s="119"/>
      <c r="D40" s="119"/>
      <c r="E40" s="119"/>
      <c r="F40" s="119"/>
      <c r="G40" s="119"/>
      <c r="H40" s="119"/>
      <c r="I40" s="119"/>
      <c r="J40" s="119"/>
      <c r="K40" s="119"/>
    </row>
    <row r="41" spans="1:11">
      <c r="A41" s="117"/>
      <c r="B41" s="118"/>
      <c r="C41" s="119"/>
      <c r="D41" s="119"/>
      <c r="E41" s="119"/>
      <c r="F41" s="119"/>
      <c r="G41" s="119"/>
      <c r="H41" s="119"/>
      <c r="I41" s="119"/>
      <c r="J41" s="119"/>
      <c r="K41" s="119"/>
    </row>
    <row r="42" spans="1:11">
      <c r="A42" s="117"/>
      <c r="B42" s="118"/>
      <c r="C42" s="119"/>
      <c r="D42" s="119"/>
      <c r="E42" s="119"/>
      <c r="F42" s="119"/>
      <c r="G42" s="119"/>
      <c r="H42" s="119"/>
      <c r="I42" s="119"/>
      <c r="J42" s="119"/>
      <c r="K42" s="119"/>
    </row>
    <row r="43" spans="1:11">
      <c r="A43" s="117"/>
      <c r="B43" s="118"/>
      <c r="C43" s="119"/>
      <c r="D43" s="119"/>
      <c r="E43" s="119"/>
      <c r="F43" s="119"/>
      <c r="G43" s="119"/>
      <c r="H43" s="119"/>
      <c r="I43" s="119"/>
      <c r="J43" s="119"/>
      <c r="K43" s="119"/>
    </row>
    <row r="44" spans="1:11">
      <c r="A44" s="117"/>
      <c r="B44" s="118"/>
      <c r="C44" s="119"/>
      <c r="D44" s="119"/>
      <c r="E44" s="119"/>
      <c r="F44" s="119"/>
      <c r="G44" s="119"/>
      <c r="H44" s="119"/>
      <c r="I44" s="119"/>
      <c r="J44" s="119"/>
      <c r="K44" s="119"/>
    </row>
    <row r="45" spans="1:11">
      <c r="A45" s="117"/>
      <c r="B45" s="118"/>
      <c r="C45" s="119"/>
      <c r="D45" s="119"/>
      <c r="E45" s="119"/>
      <c r="F45" s="119"/>
      <c r="G45" s="119"/>
      <c r="H45" s="119"/>
      <c r="I45" s="119"/>
      <c r="J45" s="119"/>
      <c r="K45" s="119"/>
    </row>
    <row r="46" spans="1:11">
      <c r="A46" s="117"/>
      <c r="B46" s="118"/>
      <c r="C46" s="119"/>
      <c r="D46" s="119"/>
      <c r="E46" s="119"/>
      <c r="F46" s="119"/>
      <c r="G46" s="119"/>
      <c r="H46" s="119"/>
      <c r="I46" s="119"/>
      <c r="J46" s="119"/>
      <c r="K46" s="119"/>
    </row>
    <row r="47" spans="1:11">
      <c r="A47" s="117"/>
      <c r="B47" s="118"/>
      <c r="C47" s="119"/>
      <c r="D47" s="119"/>
      <c r="E47" s="119"/>
      <c r="F47" s="119"/>
      <c r="G47" s="119"/>
      <c r="H47" s="119"/>
      <c r="I47" s="119"/>
      <c r="J47" s="119"/>
      <c r="K47" s="119"/>
    </row>
    <row r="48" spans="1:11">
      <c r="A48" s="117"/>
      <c r="B48" s="118"/>
      <c r="C48" s="119"/>
      <c r="D48" s="119"/>
      <c r="E48" s="119"/>
      <c r="F48" s="119"/>
      <c r="G48" s="119"/>
      <c r="H48" s="119"/>
      <c r="I48" s="119"/>
      <c r="J48" s="119"/>
      <c r="K48" s="119"/>
    </row>
    <row r="49" spans="1:11">
      <c r="A49" s="117"/>
      <c r="B49" s="118"/>
      <c r="C49" s="119"/>
      <c r="D49" s="119"/>
      <c r="E49" s="119"/>
      <c r="F49" s="119"/>
      <c r="G49" s="119"/>
      <c r="H49" s="119"/>
      <c r="I49" s="119"/>
      <c r="J49" s="119"/>
      <c r="K49" s="119"/>
    </row>
    <row r="50" spans="1:11">
      <c r="A50" s="117"/>
      <c r="B50" s="118"/>
      <c r="C50" s="119"/>
      <c r="D50" s="119"/>
      <c r="E50" s="119"/>
      <c r="F50" s="119"/>
      <c r="G50" s="119"/>
      <c r="H50" s="119"/>
      <c r="I50" s="119"/>
      <c r="J50" s="119"/>
      <c r="K50" s="119"/>
    </row>
    <row r="51" spans="1:11">
      <c r="A51" s="117"/>
      <c r="B51" s="118"/>
      <c r="C51" s="119"/>
      <c r="D51" s="119"/>
      <c r="E51" s="119"/>
      <c r="F51" s="119"/>
      <c r="G51" s="119"/>
      <c r="H51" s="119"/>
      <c r="I51" s="119"/>
      <c r="J51" s="119"/>
      <c r="K51" s="119"/>
    </row>
    <row r="52" spans="1:11">
      <c r="A52" s="117"/>
      <c r="B52" s="118"/>
      <c r="C52" s="119"/>
      <c r="D52" s="119"/>
      <c r="E52" s="119"/>
      <c r="F52" s="119"/>
      <c r="G52" s="119"/>
      <c r="H52" s="119"/>
      <c r="I52" s="119"/>
      <c r="J52" s="119"/>
      <c r="K52" s="119"/>
    </row>
    <row r="53" spans="1:11">
      <c r="A53" s="117"/>
      <c r="B53" s="118"/>
      <c r="C53" s="119"/>
      <c r="D53" s="119"/>
      <c r="E53" s="119"/>
      <c r="F53" s="119"/>
      <c r="G53" s="119"/>
      <c r="H53" s="119"/>
      <c r="I53" s="119"/>
      <c r="J53" s="119"/>
      <c r="K53" s="119"/>
    </row>
    <row r="54" spans="1:11">
      <c r="A54" s="117"/>
      <c r="B54" s="118"/>
      <c r="C54" s="119"/>
      <c r="D54" s="119"/>
      <c r="E54" s="119"/>
      <c r="F54" s="119"/>
      <c r="G54" s="119"/>
      <c r="H54" s="119"/>
      <c r="I54" s="119"/>
      <c r="J54" s="119"/>
      <c r="K54" s="119"/>
    </row>
    <row r="55" spans="1:11">
      <c r="A55" s="117"/>
      <c r="B55" s="118"/>
      <c r="C55" s="119"/>
      <c r="D55" s="119"/>
      <c r="E55" s="119"/>
      <c r="F55" s="119"/>
      <c r="G55" s="119"/>
      <c r="H55" s="119"/>
      <c r="I55" s="119"/>
      <c r="J55" s="119"/>
      <c r="K55" s="119"/>
    </row>
    <row r="56" spans="1:11">
      <c r="A56" s="117"/>
      <c r="B56" s="118"/>
      <c r="C56" s="119"/>
      <c r="D56" s="119"/>
      <c r="E56" s="119"/>
      <c r="F56" s="119"/>
      <c r="G56" s="119"/>
      <c r="H56" s="119"/>
      <c r="I56" s="119"/>
      <c r="J56" s="119"/>
      <c r="K56" s="119"/>
    </row>
    <row r="57" spans="1:11">
      <c r="A57" s="117"/>
      <c r="B57" s="118"/>
      <c r="C57" s="119"/>
      <c r="D57" s="119"/>
      <c r="E57" s="119"/>
      <c r="F57" s="119"/>
      <c r="G57" s="119"/>
      <c r="H57" s="119"/>
      <c r="I57" s="119"/>
      <c r="J57" s="119"/>
      <c r="K57" s="119"/>
    </row>
    <row r="58" spans="1:11">
      <c r="A58" s="117"/>
      <c r="B58" s="118"/>
      <c r="C58" s="119"/>
      <c r="D58" s="119"/>
      <c r="E58" s="119"/>
      <c r="F58" s="119"/>
      <c r="G58" s="119"/>
      <c r="H58" s="119"/>
      <c r="I58" s="119"/>
      <c r="J58" s="119"/>
      <c r="K58" s="119"/>
    </row>
    <row r="59" spans="1:11">
      <c r="A59" s="117"/>
      <c r="B59" s="118"/>
      <c r="C59" s="119"/>
      <c r="D59" s="119"/>
      <c r="E59" s="119"/>
      <c r="F59" s="119"/>
      <c r="G59" s="119"/>
      <c r="H59" s="119"/>
      <c r="I59" s="119"/>
      <c r="J59" s="119"/>
      <c r="K59" s="119"/>
    </row>
    <row r="60" spans="1:11">
      <c r="A60" s="117"/>
      <c r="B60" s="118"/>
      <c r="C60" s="119"/>
      <c r="D60" s="119"/>
      <c r="E60" s="119"/>
      <c r="F60" s="119"/>
      <c r="G60" s="119"/>
      <c r="H60" s="119"/>
      <c r="I60" s="119"/>
      <c r="J60" s="119"/>
      <c r="K60" s="119"/>
    </row>
    <row r="61" spans="1:11">
      <c r="A61" s="117"/>
      <c r="B61" s="118"/>
      <c r="C61" s="119"/>
      <c r="D61" s="119"/>
      <c r="E61" s="119"/>
      <c r="F61" s="119"/>
      <c r="G61" s="119"/>
      <c r="H61" s="119"/>
      <c r="I61" s="119"/>
      <c r="J61" s="119"/>
      <c r="K61" s="119"/>
    </row>
    <row r="62" spans="1:11">
      <c r="A62" s="117"/>
      <c r="B62" s="118"/>
      <c r="C62" s="119"/>
      <c r="D62" s="119"/>
      <c r="E62" s="119"/>
      <c r="F62" s="119"/>
      <c r="G62" s="119"/>
      <c r="H62" s="119"/>
      <c r="I62" s="119"/>
      <c r="J62" s="119"/>
      <c r="K62" s="119"/>
    </row>
    <row r="63" spans="1:11">
      <c r="A63" s="117"/>
      <c r="B63" s="118"/>
      <c r="C63" s="119"/>
      <c r="D63" s="119"/>
      <c r="E63" s="119"/>
      <c r="F63" s="119"/>
      <c r="G63" s="119"/>
      <c r="H63" s="119"/>
      <c r="I63" s="119"/>
      <c r="J63" s="119"/>
      <c r="K63" s="119"/>
    </row>
    <row r="64" spans="1:11">
      <c r="A64" s="117"/>
      <c r="B64" s="118"/>
      <c r="C64" s="119"/>
      <c r="D64" s="119"/>
      <c r="E64" s="119"/>
      <c r="F64" s="119"/>
      <c r="G64" s="119"/>
      <c r="H64" s="119"/>
      <c r="I64" s="119"/>
      <c r="J64" s="119"/>
      <c r="K64" s="119"/>
    </row>
    <row r="65" spans="1:11">
      <c r="A65" s="117"/>
      <c r="B65" s="118"/>
      <c r="C65" s="119"/>
      <c r="D65" s="119"/>
      <c r="E65" s="119"/>
      <c r="F65" s="119"/>
      <c r="G65" s="119"/>
      <c r="H65" s="119"/>
      <c r="I65" s="119"/>
      <c r="J65" s="119"/>
      <c r="K65" s="119"/>
    </row>
    <row r="66" spans="1:11">
      <c r="A66" s="117"/>
      <c r="B66" s="118"/>
      <c r="C66" s="119"/>
      <c r="D66" s="119"/>
      <c r="E66" s="119"/>
      <c r="F66" s="119"/>
      <c r="G66" s="119"/>
      <c r="H66" s="119"/>
      <c r="I66" s="119"/>
      <c r="J66" s="119"/>
      <c r="K66" s="119"/>
    </row>
    <row r="67" spans="1:11">
      <c r="A67" s="117"/>
      <c r="B67" s="118"/>
      <c r="C67" s="119"/>
      <c r="D67" s="119"/>
      <c r="E67" s="119"/>
      <c r="F67" s="119"/>
      <c r="G67" s="119"/>
      <c r="H67" s="119"/>
      <c r="I67" s="119"/>
      <c r="J67" s="119"/>
      <c r="K67" s="119"/>
    </row>
    <row r="68" spans="1:11">
      <c r="A68" s="117"/>
      <c r="B68" s="118"/>
      <c r="C68" s="119"/>
      <c r="D68" s="119"/>
      <c r="E68" s="119"/>
      <c r="F68" s="119"/>
      <c r="G68" s="119"/>
      <c r="H68" s="119"/>
      <c r="I68" s="119"/>
      <c r="J68" s="119"/>
      <c r="K68" s="119"/>
    </row>
    <row r="69" spans="1:11">
      <c r="A69" s="117"/>
      <c r="B69" s="118"/>
      <c r="C69" s="119"/>
      <c r="D69" s="119"/>
      <c r="E69" s="119"/>
      <c r="F69" s="119"/>
      <c r="G69" s="119"/>
      <c r="H69" s="119"/>
      <c r="I69" s="119"/>
      <c r="J69" s="119"/>
      <c r="K69" s="119"/>
    </row>
    <row r="70" spans="1:11">
      <c r="A70" s="117"/>
      <c r="B70" s="118"/>
      <c r="C70" s="119"/>
      <c r="D70" s="119"/>
      <c r="E70" s="119"/>
      <c r="F70" s="119"/>
      <c r="G70" s="119"/>
      <c r="H70" s="119"/>
      <c r="I70" s="119"/>
      <c r="J70" s="119"/>
      <c r="K70" s="119"/>
    </row>
    <row r="71" spans="1:11">
      <c r="A71" s="117"/>
      <c r="B71" s="118"/>
      <c r="C71" s="119"/>
      <c r="D71" s="119"/>
      <c r="E71" s="119"/>
      <c r="F71" s="119"/>
      <c r="G71" s="119"/>
      <c r="H71" s="119"/>
      <c r="I71" s="119"/>
      <c r="J71" s="119"/>
      <c r="K71" s="119"/>
    </row>
    <row r="72" spans="1:11">
      <c r="A72" s="117"/>
      <c r="B72" s="118"/>
      <c r="C72" s="119"/>
      <c r="D72" s="119"/>
      <c r="E72" s="119"/>
      <c r="F72" s="119"/>
      <c r="G72" s="119"/>
      <c r="H72" s="119"/>
      <c r="I72" s="119"/>
      <c r="J72" s="119"/>
      <c r="K72" s="119"/>
    </row>
    <row r="73" spans="1:11">
      <c r="A73" s="117"/>
      <c r="B73" s="118"/>
      <c r="C73" s="119"/>
      <c r="D73" s="119"/>
      <c r="E73" s="119"/>
      <c r="F73" s="119"/>
      <c r="G73" s="119"/>
      <c r="H73" s="119"/>
      <c r="I73" s="119"/>
      <c r="J73" s="119"/>
      <c r="K73" s="119"/>
    </row>
    <row r="74" spans="1:11">
      <c r="A74" s="117"/>
      <c r="B74" s="118"/>
      <c r="C74" s="119"/>
      <c r="D74" s="119"/>
      <c r="E74" s="119"/>
      <c r="F74" s="119"/>
      <c r="G74" s="119"/>
      <c r="H74" s="119"/>
      <c r="I74" s="119"/>
      <c r="J74" s="119"/>
      <c r="K74" s="119"/>
    </row>
    <row r="75" spans="1:11">
      <c r="A75" s="117"/>
      <c r="B75" s="118"/>
      <c r="C75" s="119"/>
      <c r="D75" s="119"/>
      <c r="E75" s="119"/>
      <c r="F75" s="119"/>
      <c r="G75" s="119"/>
      <c r="H75" s="119"/>
      <c r="I75" s="119"/>
      <c r="J75" s="119"/>
      <c r="K75" s="119"/>
    </row>
    <row r="76" spans="1:11">
      <c r="A76" s="117"/>
      <c r="B76" s="118"/>
      <c r="C76" s="119"/>
      <c r="D76" s="119"/>
      <c r="E76" s="119"/>
      <c r="F76" s="119"/>
      <c r="G76" s="119"/>
      <c r="H76" s="119"/>
      <c r="I76" s="119"/>
      <c r="J76" s="119"/>
      <c r="K76" s="119"/>
    </row>
    <row r="77" spans="1:11">
      <c r="A77" s="117"/>
      <c r="B77" s="118"/>
      <c r="C77" s="119"/>
      <c r="D77" s="119"/>
      <c r="E77" s="119"/>
      <c r="F77" s="119"/>
      <c r="G77" s="119"/>
      <c r="H77" s="119"/>
      <c r="I77" s="119"/>
      <c r="J77" s="119"/>
      <c r="K77" s="119"/>
    </row>
    <row r="78" spans="1:11">
      <c r="A78" s="117"/>
      <c r="B78" s="118"/>
      <c r="C78" s="119"/>
      <c r="D78" s="119"/>
      <c r="E78" s="119"/>
      <c r="F78" s="119"/>
      <c r="G78" s="119"/>
      <c r="H78" s="119"/>
      <c r="I78" s="119"/>
      <c r="J78" s="119"/>
      <c r="K78" s="119"/>
    </row>
    <row r="79" spans="1:11">
      <c r="A79" s="117"/>
      <c r="B79" s="118"/>
      <c r="C79" s="119"/>
      <c r="D79" s="119"/>
      <c r="E79" s="119"/>
      <c r="F79" s="119"/>
      <c r="G79" s="119"/>
      <c r="H79" s="119"/>
      <c r="I79" s="119"/>
      <c r="J79" s="119"/>
      <c r="K79" s="119"/>
    </row>
    <row r="80" spans="1:11">
      <c r="A80" s="117"/>
      <c r="B80" s="118"/>
      <c r="C80" s="119"/>
      <c r="D80" s="119"/>
      <c r="E80" s="119"/>
      <c r="F80" s="119"/>
      <c r="G80" s="119"/>
      <c r="H80" s="119"/>
      <c r="I80" s="119"/>
      <c r="J80" s="119"/>
      <c r="K80" s="119"/>
    </row>
    <row r="81" spans="1:11">
      <c r="A81" s="117"/>
      <c r="B81" s="118"/>
      <c r="C81" s="119"/>
      <c r="D81" s="119"/>
      <c r="E81" s="119"/>
      <c r="F81" s="119"/>
      <c r="G81" s="119"/>
      <c r="H81" s="119"/>
      <c r="I81" s="119"/>
      <c r="J81" s="119"/>
      <c r="K81" s="119"/>
    </row>
    <row r="82" spans="1:11">
      <c r="A82" s="117"/>
      <c r="B82" s="118"/>
      <c r="C82" s="119"/>
      <c r="D82" s="119"/>
      <c r="E82" s="119"/>
      <c r="F82" s="119"/>
      <c r="G82" s="119"/>
      <c r="H82" s="119"/>
      <c r="I82" s="119"/>
      <c r="J82" s="119"/>
      <c r="K82" s="119"/>
    </row>
  </sheetData>
  <mergeCells count="32">
    <mergeCell ref="H31:H32"/>
    <mergeCell ref="A21:A22"/>
    <mergeCell ref="B21:B22"/>
    <mergeCell ref="A23:A24"/>
    <mergeCell ref="B23:B24"/>
    <mergeCell ref="A27:A28"/>
    <mergeCell ref="B27:B28"/>
    <mergeCell ref="A25:A26"/>
    <mergeCell ref="B25:B26"/>
    <mergeCell ref="A29:A30"/>
    <mergeCell ref="B29:B30"/>
    <mergeCell ref="A15:A16"/>
    <mergeCell ref="B15:B16"/>
    <mergeCell ref="A17:A18"/>
    <mergeCell ref="B17:B18"/>
    <mergeCell ref="A19:A20"/>
    <mergeCell ref="B19:B20"/>
    <mergeCell ref="H7:H8"/>
    <mergeCell ref="A9:A10"/>
    <mergeCell ref="B9:B10"/>
    <mergeCell ref="A11:A12"/>
    <mergeCell ref="B11:B12"/>
    <mergeCell ref="A2:D2"/>
    <mergeCell ref="B3:D3"/>
    <mergeCell ref="B4:D4"/>
    <mergeCell ref="A13:A14"/>
    <mergeCell ref="B13:B14"/>
    <mergeCell ref="B5:D5"/>
    <mergeCell ref="B6:D6"/>
    <mergeCell ref="A7:A8"/>
    <mergeCell ref="B7:B8"/>
    <mergeCell ref="C7:C8"/>
  </mergeCells>
  <conditionalFormatting sqref="H12 H14 H16 H18 H20 H22 H24 H28 H10 H26">
    <cfRule type="cellIs" dxfId="20" priority="46" stopIfTrue="1" operator="equal">
      <formula>1</formula>
    </cfRule>
  </conditionalFormatting>
  <conditionalFormatting sqref="H12 H14 H16 H18 H20 H22 H24 H28 H10 H26">
    <cfRule type="cellIs" dxfId="19" priority="44" stopIfTrue="1" operator="greaterThan">
      <formula>1</formula>
    </cfRule>
    <cfRule type="cellIs" dxfId="18" priority="45" stopIfTrue="1" operator="lessThan">
      <formula>1</formula>
    </cfRule>
  </conditionalFormatting>
  <conditionalFormatting sqref="D16:G16 D18:G18 D24:G24 D22:G22 D14:G14 D20:G20 D10:G10 D12:G12 D28:G28 D26:G26">
    <cfRule type="cellIs" dxfId="17" priority="43" stopIfTrue="1" operator="greaterThan">
      <formula>0</formula>
    </cfRule>
  </conditionalFormatting>
  <conditionalFormatting sqref="D11:G11 D23:G23 D21:G21 D19:G19 D17:G17 D15:G15 D13:G13">
    <cfRule type="cellIs" dxfId="16" priority="42" operator="greaterThan">
      <formula>0</formula>
    </cfRule>
  </conditionalFormatting>
  <conditionalFormatting sqref="D9:G9">
    <cfRule type="cellIs" dxfId="15" priority="41" operator="greaterThan">
      <formula>0</formula>
    </cfRule>
  </conditionalFormatting>
  <conditionalFormatting sqref="D26:G28 D9:G24">
    <cfRule type="cellIs" dxfId="14" priority="40" operator="greaterThan">
      <formula>1</formula>
    </cfRule>
  </conditionalFormatting>
  <conditionalFormatting sqref="D27:G27">
    <cfRule type="cellIs" dxfId="13" priority="39" operator="greaterThan">
      <formula>0</formula>
    </cfRule>
  </conditionalFormatting>
  <conditionalFormatting sqref="D25:G25">
    <cfRule type="cellIs" dxfId="12" priority="8" operator="greaterThan">
      <formula>0</formula>
    </cfRule>
  </conditionalFormatting>
  <conditionalFormatting sqref="D25:G25">
    <cfRule type="cellIs" dxfId="11" priority="7" operator="greaterThan">
      <formula>1</formula>
    </cfRule>
  </conditionalFormatting>
  <conditionalFormatting sqref="H30">
    <cfRule type="cellIs" dxfId="10" priority="6" stopIfTrue="1" operator="equal">
      <formula>1</formula>
    </cfRule>
  </conditionalFormatting>
  <conditionalFormatting sqref="H30">
    <cfRule type="cellIs" dxfId="9" priority="4" stopIfTrue="1" operator="greaterThan">
      <formula>1</formula>
    </cfRule>
    <cfRule type="cellIs" dxfId="8" priority="5" stopIfTrue="1" operator="lessThan">
      <formula>1</formula>
    </cfRule>
  </conditionalFormatting>
  <conditionalFormatting sqref="D30:G30">
    <cfRule type="cellIs" dxfId="7" priority="3" stopIfTrue="1" operator="greaterThan">
      <formula>0</formula>
    </cfRule>
  </conditionalFormatting>
  <conditionalFormatting sqref="D29:G30">
    <cfRule type="cellIs" dxfId="6" priority="2" operator="greaterThan">
      <formula>1</formula>
    </cfRule>
  </conditionalFormatting>
  <conditionalFormatting sqref="D29:G29">
    <cfRule type="cellIs" dxfId="5" priority="1" operator="greaterThan">
      <formula>0</formula>
    </cfRule>
  </conditionalFormatting>
  <printOptions horizontalCentered="1"/>
  <pageMargins left="0.39370078740157483" right="0.27559055118110237" top="0.59055118110236227" bottom="0.51181102362204722" header="0.31496062992125984" footer="0.19685039370078741"/>
  <pageSetup paperSize="9" scale="8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78"/>
  <sheetViews>
    <sheetView showOutlineSymbols="0" showWhiteSpace="0" topLeftCell="A97" workbookViewId="0">
      <selection activeCell="D102" sqref="D102"/>
    </sheetView>
  </sheetViews>
  <sheetFormatPr defaultColWidth="9" defaultRowHeight="14.25"/>
  <cols>
    <col min="1" max="1" width="10" style="76" bestFit="1" customWidth="1"/>
    <col min="2" max="2" width="12" style="76" bestFit="1" customWidth="1"/>
    <col min="3" max="3" width="12.25" style="76" customWidth="1"/>
    <col min="4" max="4" width="67.75" style="76" customWidth="1"/>
    <col min="5" max="5" width="15" style="76" bestFit="1" customWidth="1"/>
    <col min="6" max="8" width="12" style="76" bestFit="1" customWidth="1"/>
    <col min="9" max="9" width="12" style="76" customWidth="1"/>
    <col min="10" max="10" width="14.875" style="76" customWidth="1"/>
    <col min="11" max="11" width="10.5" style="76" customWidth="1"/>
    <col min="12" max="12" width="12" style="76" bestFit="1" customWidth="1"/>
    <col min="13" max="13" width="12" style="76" customWidth="1"/>
    <col min="14" max="14" width="20.125" style="76" customWidth="1"/>
    <col min="15" max="16" width="14" style="76" bestFit="1" customWidth="1"/>
    <col min="17" max="16384" width="9" style="76"/>
  </cols>
  <sheetData>
    <row r="1" spans="1:17" ht="15">
      <c r="A1" s="74"/>
      <c r="B1" s="74"/>
      <c r="C1" s="551" t="s">
        <v>180</v>
      </c>
      <c r="D1" s="551"/>
      <c r="E1" s="551" t="s">
        <v>1</v>
      </c>
      <c r="F1" s="551"/>
      <c r="G1" s="551" t="s">
        <v>2</v>
      </c>
      <c r="H1" s="551"/>
      <c r="I1" s="74"/>
      <c r="J1" s="74"/>
      <c r="K1" s="74"/>
      <c r="L1" s="551" t="s">
        <v>3</v>
      </c>
      <c r="M1" s="551"/>
      <c r="N1" s="551"/>
      <c r="O1" s="551"/>
    </row>
    <row r="2" spans="1:17" ht="22.5" customHeight="1">
      <c r="A2" s="75"/>
      <c r="B2" s="75"/>
      <c r="C2" s="544" t="s">
        <v>4</v>
      </c>
      <c r="D2" s="544"/>
      <c r="E2" s="544" t="s">
        <v>209</v>
      </c>
      <c r="F2" s="544"/>
      <c r="G2" s="544" t="s">
        <v>5</v>
      </c>
      <c r="H2" s="544"/>
      <c r="I2" s="75"/>
      <c r="J2" s="75"/>
      <c r="K2" s="75"/>
      <c r="L2" s="544" t="s">
        <v>213</v>
      </c>
      <c r="M2" s="544"/>
      <c r="N2" s="544"/>
      <c r="O2" s="544"/>
      <c r="P2" s="544"/>
      <c r="Q2" s="544"/>
    </row>
    <row r="3" spans="1:17" ht="15">
      <c r="A3" s="545" t="s">
        <v>180</v>
      </c>
      <c r="B3" s="546"/>
      <c r="C3" s="546"/>
      <c r="D3" s="546"/>
      <c r="E3" s="546"/>
      <c r="F3" s="546"/>
      <c r="G3" s="546"/>
      <c r="H3" s="546"/>
      <c r="I3" s="546"/>
      <c r="J3" s="546"/>
      <c r="K3" s="546"/>
      <c r="L3" s="546"/>
      <c r="M3" s="546"/>
      <c r="N3" s="546"/>
      <c r="O3" s="546"/>
    </row>
    <row r="4" spans="1:17" ht="30" customHeight="1">
      <c r="A4" s="545" t="s">
        <v>179</v>
      </c>
      <c r="B4" s="546"/>
      <c r="C4" s="546"/>
      <c r="D4" s="546"/>
      <c r="E4" s="546"/>
      <c r="F4" s="546"/>
      <c r="G4" s="546"/>
      <c r="H4" s="546"/>
      <c r="I4" s="546"/>
      <c r="J4" s="546"/>
      <c r="K4" s="546"/>
      <c r="L4" s="546"/>
      <c r="M4" s="546"/>
      <c r="N4" s="546"/>
      <c r="O4" s="546"/>
    </row>
    <row r="5" spans="1:17" s="493" customFormat="1" ht="30" customHeight="1">
      <c r="A5" s="501" t="s">
        <v>466</v>
      </c>
      <c r="B5" s="494" t="s">
        <v>8</v>
      </c>
      <c r="C5" s="501" t="s">
        <v>9</v>
      </c>
      <c r="D5" s="501" t="s">
        <v>10</v>
      </c>
      <c r="E5" s="547" t="s">
        <v>128</v>
      </c>
      <c r="F5" s="547"/>
      <c r="G5" s="502" t="s">
        <v>11</v>
      </c>
      <c r="H5" s="494" t="s">
        <v>12</v>
      </c>
      <c r="I5" s="494" t="s">
        <v>214</v>
      </c>
      <c r="J5" s="494" t="s">
        <v>215</v>
      </c>
      <c r="K5" s="494" t="s">
        <v>216</v>
      </c>
      <c r="L5" s="494" t="s">
        <v>13</v>
      </c>
      <c r="M5" s="494" t="s">
        <v>210</v>
      </c>
      <c r="N5" s="112" t="s">
        <v>211</v>
      </c>
      <c r="O5" s="494" t="s">
        <v>15</v>
      </c>
    </row>
    <row r="6" spans="1:17" s="493" customFormat="1" ht="30.75" customHeight="1">
      <c r="A6" s="495" t="s">
        <v>127</v>
      </c>
      <c r="B6" s="497" t="s">
        <v>658</v>
      </c>
      <c r="C6" s="495" t="s">
        <v>23</v>
      </c>
      <c r="D6" s="495" t="s">
        <v>615</v>
      </c>
      <c r="E6" s="594"/>
      <c r="F6" s="594"/>
      <c r="G6" s="496" t="s">
        <v>25</v>
      </c>
      <c r="H6" s="438">
        <v>1</v>
      </c>
      <c r="I6" s="498">
        <f>SUM(I7)</f>
        <v>95.81</v>
      </c>
      <c r="J6" s="498">
        <f>SUM(J7)</f>
        <v>0.72</v>
      </c>
      <c r="K6" s="498">
        <f>SUM(K7)</f>
        <v>1.21</v>
      </c>
      <c r="L6" s="498">
        <f>SUM(I6:K6)</f>
        <v>97.74</v>
      </c>
      <c r="M6" s="498">
        <f>SUM(M7)</f>
        <v>1916.2</v>
      </c>
      <c r="N6" s="498">
        <f>SUM(N7)</f>
        <v>38.6</v>
      </c>
      <c r="O6" s="498">
        <f>SUM(O7)</f>
        <v>1954.8</v>
      </c>
    </row>
    <row r="7" spans="1:17" s="493" customFormat="1" ht="24.75" customHeight="1">
      <c r="A7" s="481" t="s">
        <v>147</v>
      </c>
      <c r="B7" s="441" t="s">
        <v>165</v>
      </c>
      <c r="C7" s="481" t="s">
        <v>27</v>
      </c>
      <c r="D7" s="481" t="s">
        <v>659</v>
      </c>
      <c r="E7" s="590" t="s">
        <v>144</v>
      </c>
      <c r="F7" s="590"/>
      <c r="G7" s="440" t="s">
        <v>29</v>
      </c>
      <c r="H7" s="442">
        <v>20</v>
      </c>
      <c r="I7" s="370">
        <v>95.81</v>
      </c>
      <c r="J7" s="370">
        <v>0.72</v>
      </c>
      <c r="K7" s="370">
        <v>1.21</v>
      </c>
      <c r="L7" s="370">
        <f>SUM(I7:K7)</f>
        <v>97.74</v>
      </c>
      <c r="M7" s="370">
        <f>ROUND((I7*H7),2)</f>
        <v>1916.2</v>
      </c>
      <c r="N7" s="370">
        <f>ROUND((SUM(J7:K7))*H7,2)</f>
        <v>38.6</v>
      </c>
      <c r="O7" s="370">
        <f>SUM(M7:N7)</f>
        <v>1954.8</v>
      </c>
    </row>
    <row r="8" spans="1:17" s="493" customFormat="1" ht="12" customHeight="1">
      <c r="A8" s="500"/>
    </row>
    <row r="9" spans="1:17" s="493" customFormat="1" ht="12" customHeight="1">
      <c r="A9" s="500"/>
    </row>
    <row r="10" spans="1:17" ht="36" customHeight="1">
      <c r="A10" s="77" t="s">
        <v>34</v>
      </c>
      <c r="B10" s="73" t="s">
        <v>8</v>
      </c>
      <c r="C10" s="77" t="s">
        <v>9</v>
      </c>
      <c r="D10" s="77" t="s">
        <v>10</v>
      </c>
      <c r="E10" s="547" t="s">
        <v>128</v>
      </c>
      <c r="F10" s="547"/>
      <c r="G10" s="78" t="s">
        <v>11</v>
      </c>
      <c r="H10" s="73" t="s">
        <v>12</v>
      </c>
      <c r="I10" s="73" t="s">
        <v>214</v>
      </c>
      <c r="J10" s="109" t="s">
        <v>215</v>
      </c>
      <c r="K10" s="73" t="s">
        <v>216</v>
      </c>
      <c r="L10" s="73" t="s">
        <v>13</v>
      </c>
      <c r="M10" s="73" t="s">
        <v>210</v>
      </c>
      <c r="N10" s="112" t="s">
        <v>211</v>
      </c>
      <c r="O10" s="73" t="s">
        <v>15</v>
      </c>
    </row>
    <row r="11" spans="1:17" ht="39" customHeight="1">
      <c r="A11" s="81" t="s">
        <v>127</v>
      </c>
      <c r="B11" s="48" t="s">
        <v>212</v>
      </c>
      <c r="C11" s="81" t="s">
        <v>23</v>
      </c>
      <c r="D11" s="81" t="s">
        <v>35</v>
      </c>
      <c r="E11" s="594"/>
      <c r="F11" s="594"/>
      <c r="G11" s="47" t="s">
        <v>36</v>
      </c>
      <c r="H11" s="46">
        <v>1</v>
      </c>
      <c r="I11" s="45">
        <f>SUM(I12:I17)</f>
        <v>37.79</v>
      </c>
      <c r="J11" s="45">
        <f>SUM(J12:J17)</f>
        <v>3.67</v>
      </c>
      <c r="K11" s="45">
        <f>SUM(K12:K17)</f>
        <v>321.16000000000003</v>
      </c>
      <c r="L11" s="45">
        <f>SUM(I11:K11)</f>
        <v>362.62</v>
      </c>
      <c r="M11" s="45">
        <f>SUM(M12:M17)</f>
        <v>37.79</v>
      </c>
      <c r="N11" s="45">
        <f>SUM(N12:N17)</f>
        <v>393.7</v>
      </c>
      <c r="O11" s="45">
        <f>SUM(O12:O17)</f>
        <v>431.49</v>
      </c>
    </row>
    <row r="12" spans="1:17" ht="24" customHeight="1">
      <c r="A12" s="82" t="s">
        <v>147</v>
      </c>
      <c r="B12" s="53" t="s">
        <v>165</v>
      </c>
      <c r="C12" s="82" t="s">
        <v>27</v>
      </c>
      <c r="D12" s="82" t="s">
        <v>164</v>
      </c>
      <c r="E12" s="590" t="s">
        <v>144</v>
      </c>
      <c r="F12" s="590"/>
      <c r="G12" s="52" t="s">
        <v>29</v>
      </c>
      <c r="H12" s="51">
        <v>1</v>
      </c>
      <c r="I12" s="50">
        <v>22.4</v>
      </c>
      <c r="J12" s="50">
        <v>1.83</v>
      </c>
      <c r="K12" s="50">
        <v>1.77</v>
      </c>
      <c r="L12" s="50">
        <f>SUM(I12:K12)</f>
        <v>25.999999999999996</v>
      </c>
      <c r="M12" s="50">
        <f>ROUND((I12*H12),2)</f>
        <v>22.4</v>
      </c>
      <c r="N12" s="50">
        <f>ROUND((SUM(J12:K12))*H12,2)</f>
        <v>3.6</v>
      </c>
      <c r="O12" s="50">
        <f t="shared" ref="O12:O17" si="0">SUM(M12:N12)</f>
        <v>26</v>
      </c>
    </row>
    <row r="13" spans="1:17" ht="24" customHeight="1">
      <c r="A13" s="82" t="s">
        <v>147</v>
      </c>
      <c r="B13" s="53" t="s">
        <v>156</v>
      </c>
      <c r="C13" s="82" t="s">
        <v>27</v>
      </c>
      <c r="D13" s="82" t="s">
        <v>155</v>
      </c>
      <c r="E13" s="590" t="s">
        <v>144</v>
      </c>
      <c r="F13" s="590"/>
      <c r="G13" s="52" t="s">
        <v>29</v>
      </c>
      <c r="H13" s="51">
        <v>1</v>
      </c>
      <c r="I13" s="50">
        <v>15.39</v>
      </c>
      <c r="J13" s="50">
        <v>1.84</v>
      </c>
      <c r="K13" s="50">
        <v>1.77</v>
      </c>
      <c r="L13" s="50">
        <f>SUM(I13:K13)</f>
        <v>19</v>
      </c>
      <c r="M13" s="50">
        <f t="shared" ref="M13:M17" si="1">ROUND((I13*H13),2)</f>
        <v>15.39</v>
      </c>
      <c r="N13" s="50">
        <f t="shared" ref="N13:N17" si="2">ROUND((SUM(J13:K13))*H13,2)</f>
        <v>3.61</v>
      </c>
      <c r="O13" s="50">
        <f t="shared" si="0"/>
        <v>19</v>
      </c>
    </row>
    <row r="14" spans="1:17" ht="39" customHeight="1">
      <c r="A14" s="80" t="s">
        <v>114</v>
      </c>
      <c r="B14" s="44" t="s">
        <v>178</v>
      </c>
      <c r="C14" s="80" t="s">
        <v>27</v>
      </c>
      <c r="D14" s="80" t="s">
        <v>177</v>
      </c>
      <c r="E14" s="591" t="s">
        <v>111</v>
      </c>
      <c r="F14" s="591"/>
      <c r="G14" s="43" t="s">
        <v>36</v>
      </c>
      <c r="H14" s="42">
        <v>1.05</v>
      </c>
      <c r="I14" s="41">
        <v>0</v>
      </c>
      <c r="J14" s="41">
        <v>0</v>
      </c>
      <c r="K14" s="41">
        <v>275</v>
      </c>
      <c r="L14" s="41">
        <f>SUM(I14:K14)</f>
        <v>275</v>
      </c>
      <c r="M14" s="41">
        <f t="shared" si="1"/>
        <v>0</v>
      </c>
      <c r="N14" s="41">
        <f t="shared" si="2"/>
        <v>288.75</v>
      </c>
      <c r="O14" s="41">
        <f t="shared" si="0"/>
        <v>288.75</v>
      </c>
    </row>
    <row r="15" spans="1:17" ht="26.1" customHeight="1">
      <c r="A15" s="80" t="s">
        <v>114</v>
      </c>
      <c r="B15" s="44" t="s">
        <v>176</v>
      </c>
      <c r="C15" s="80" t="s">
        <v>27</v>
      </c>
      <c r="D15" s="80" t="s">
        <v>175</v>
      </c>
      <c r="E15" s="591" t="s">
        <v>111</v>
      </c>
      <c r="F15" s="591"/>
      <c r="G15" s="43" t="s">
        <v>40</v>
      </c>
      <c r="H15" s="42">
        <v>5.3</v>
      </c>
      <c r="I15" s="41">
        <v>0</v>
      </c>
      <c r="J15" s="41">
        <v>0</v>
      </c>
      <c r="K15" s="41">
        <v>13.3</v>
      </c>
      <c r="L15" s="41">
        <f t="shared" ref="L15:L17" si="3">SUM(I15:K15)</f>
        <v>13.3</v>
      </c>
      <c r="M15" s="41">
        <f t="shared" si="1"/>
        <v>0</v>
      </c>
      <c r="N15" s="41">
        <f t="shared" si="2"/>
        <v>70.489999999999995</v>
      </c>
      <c r="O15" s="41">
        <f t="shared" si="0"/>
        <v>70.489999999999995</v>
      </c>
    </row>
    <row r="16" spans="1:17" ht="26.1" customHeight="1">
      <c r="A16" s="80" t="s">
        <v>114</v>
      </c>
      <c r="B16" s="44" t="s">
        <v>174</v>
      </c>
      <c r="C16" s="80" t="s">
        <v>27</v>
      </c>
      <c r="D16" s="80" t="s">
        <v>173</v>
      </c>
      <c r="E16" s="591" t="s">
        <v>111</v>
      </c>
      <c r="F16" s="591"/>
      <c r="G16" s="43" t="s">
        <v>40</v>
      </c>
      <c r="H16" s="42">
        <v>3.3</v>
      </c>
      <c r="I16" s="41">
        <v>0</v>
      </c>
      <c r="J16" s="41">
        <v>0</v>
      </c>
      <c r="K16" s="41">
        <v>8.1300000000000008</v>
      </c>
      <c r="L16" s="41">
        <f t="shared" si="3"/>
        <v>8.1300000000000008</v>
      </c>
      <c r="M16" s="41">
        <f t="shared" si="1"/>
        <v>0</v>
      </c>
      <c r="N16" s="41">
        <f t="shared" si="2"/>
        <v>26.83</v>
      </c>
      <c r="O16" s="41">
        <f t="shared" si="0"/>
        <v>26.83</v>
      </c>
    </row>
    <row r="17" spans="1:15" ht="26.1" customHeight="1">
      <c r="A17" s="80" t="s">
        <v>114</v>
      </c>
      <c r="B17" s="44" t="s">
        <v>172</v>
      </c>
      <c r="C17" s="80" t="s">
        <v>27</v>
      </c>
      <c r="D17" s="80" t="s">
        <v>171</v>
      </c>
      <c r="E17" s="591" t="s">
        <v>111</v>
      </c>
      <c r="F17" s="591"/>
      <c r="G17" s="43" t="s">
        <v>141</v>
      </c>
      <c r="H17" s="42">
        <v>0.02</v>
      </c>
      <c r="I17" s="41">
        <v>0</v>
      </c>
      <c r="J17" s="41">
        <v>0</v>
      </c>
      <c r="K17" s="41">
        <v>21.19</v>
      </c>
      <c r="L17" s="41">
        <f t="shared" si="3"/>
        <v>21.19</v>
      </c>
      <c r="M17" s="41">
        <f t="shared" si="1"/>
        <v>0</v>
      </c>
      <c r="N17" s="41">
        <f t="shared" si="2"/>
        <v>0.42</v>
      </c>
      <c r="O17" s="41">
        <f t="shared" si="0"/>
        <v>0.42</v>
      </c>
    </row>
    <row r="18" spans="1:15" s="252" customFormat="1" ht="26.1" customHeight="1">
      <c r="A18" s="247"/>
      <c r="B18" s="248"/>
      <c r="C18" s="247"/>
      <c r="D18" s="247"/>
      <c r="E18" s="247"/>
      <c r="F18" s="247"/>
      <c r="G18" s="249"/>
      <c r="H18" s="250"/>
      <c r="I18" s="251"/>
      <c r="J18" s="251"/>
      <c r="K18" s="251"/>
      <c r="L18" s="251"/>
      <c r="M18" s="251"/>
      <c r="N18" s="251"/>
      <c r="O18" s="251"/>
    </row>
    <row r="19" spans="1:15" s="252" customFormat="1" ht="26.1" customHeight="1">
      <c r="A19" s="235" t="s">
        <v>373</v>
      </c>
      <c r="B19" s="236" t="s">
        <v>8</v>
      </c>
      <c r="C19" s="235" t="s">
        <v>9</v>
      </c>
      <c r="D19" s="235" t="s">
        <v>10</v>
      </c>
      <c r="E19" s="547" t="s">
        <v>128</v>
      </c>
      <c r="F19" s="547"/>
      <c r="G19" s="234" t="s">
        <v>11</v>
      </c>
      <c r="H19" s="236" t="s">
        <v>12</v>
      </c>
      <c r="I19" s="236" t="s">
        <v>214</v>
      </c>
      <c r="J19" s="236" t="s">
        <v>215</v>
      </c>
      <c r="K19" s="236" t="s">
        <v>216</v>
      </c>
      <c r="L19" s="236" t="s">
        <v>13</v>
      </c>
      <c r="M19" s="236" t="s">
        <v>210</v>
      </c>
      <c r="N19" s="112" t="s">
        <v>211</v>
      </c>
      <c r="O19" s="236" t="s">
        <v>15</v>
      </c>
    </row>
    <row r="20" spans="1:15" s="229" customFormat="1" ht="39" customHeight="1">
      <c r="A20" s="230" t="s">
        <v>127</v>
      </c>
      <c r="B20" s="217" t="s">
        <v>355</v>
      </c>
      <c r="C20" s="230" t="s">
        <v>23</v>
      </c>
      <c r="D20" s="230" t="s">
        <v>352</v>
      </c>
      <c r="E20" s="594"/>
      <c r="F20" s="594"/>
      <c r="G20" s="216" t="s">
        <v>358</v>
      </c>
      <c r="H20" s="218">
        <v>1</v>
      </c>
      <c r="I20" s="212">
        <f>SUM(I21:I23)</f>
        <v>51.730000000000004</v>
      </c>
      <c r="J20" s="212">
        <f>SUM(J21:J23)</f>
        <v>97.31</v>
      </c>
      <c r="K20" s="212">
        <f>SUM(K21:K23)</f>
        <v>90.859999999999985</v>
      </c>
      <c r="L20" s="212">
        <f>SUM(I20:K20)</f>
        <v>239.9</v>
      </c>
      <c r="M20" s="212">
        <f>SUM(M21:M23)</f>
        <v>31.64</v>
      </c>
      <c r="N20" s="212">
        <f>SUM(N21:N23)</f>
        <v>11.94</v>
      </c>
      <c r="O20" s="212">
        <f>SUM(O21:O23)</f>
        <v>43.58</v>
      </c>
    </row>
    <row r="21" spans="1:15" s="353" customFormat="1" ht="26.1" customHeight="1">
      <c r="A21" s="354" t="s">
        <v>147</v>
      </c>
      <c r="B21" s="345">
        <v>67826</v>
      </c>
      <c r="C21" s="354" t="s">
        <v>27</v>
      </c>
      <c r="D21" s="354" t="s">
        <v>356</v>
      </c>
      <c r="E21" s="591" t="s">
        <v>144</v>
      </c>
      <c r="F21" s="591"/>
      <c r="G21" s="344" t="s">
        <v>359</v>
      </c>
      <c r="H21" s="346">
        <v>2.6700000000000002E-2</v>
      </c>
      <c r="I21" s="279">
        <v>18.170000000000002</v>
      </c>
      <c r="J21" s="279">
        <v>66.83</v>
      </c>
      <c r="K21" s="279">
        <v>86.49</v>
      </c>
      <c r="L21" s="279">
        <f>SUM(I21:K21)</f>
        <v>171.49</v>
      </c>
      <c r="M21" s="279">
        <f>ROUND((I21*H21),2)</f>
        <v>0.49</v>
      </c>
      <c r="N21" s="279">
        <f>ROUND((SUM(J21:K21))*H21,2)</f>
        <v>4.09</v>
      </c>
      <c r="O21" s="279">
        <f t="shared" ref="O21:O22" si="4">SUM(M21:N21)</f>
        <v>4.58</v>
      </c>
    </row>
    <row r="22" spans="1:15" s="353" customFormat="1" ht="26.1" customHeight="1">
      <c r="A22" s="354" t="s">
        <v>147</v>
      </c>
      <c r="B22" s="345">
        <v>67827</v>
      </c>
      <c r="C22" s="354" t="s">
        <v>27</v>
      </c>
      <c r="D22" s="354" t="s">
        <v>357</v>
      </c>
      <c r="E22" s="591" t="s">
        <v>144</v>
      </c>
      <c r="F22" s="591"/>
      <c r="G22" s="344" t="s">
        <v>360</v>
      </c>
      <c r="H22" s="346">
        <v>2.0299999999999999E-2</v>
      </c>
      <c r="I22" s="279">
        <v>18.170000000000002</v>
      </c>
      <c r="J22" s="279">
        <v>28.64</v>
      </c>
      <c r="K22" s="279">
        <v>2.6</v>
      </c>
      <c r="L22" s="279">
        <f>SUM(I22:K22)</f>
        <v>49.410000000000004</v>
      </c>
      <c r="M22" s="279">
        <f t="shared" ref="M22:M23" si="5">ROUND((I22*H22),2)</f>
        <v>0.37</v>
      </c>
      <c r="N22" s="279">
        <f t="shared" ref="N22:N23" si="6">ROUND((SUM(J22:K22))*H22,2)</f>
        <v>0.63</v>
      </c>
      <c r="O22" s="279">
        <f t="shared" si="4"/>
        <v>1</v>
      </c>
    </row>
    <row r="23" spans="1:15" s="353" customFormat="1" ht="26.1" customHeight="1">
      <c r="A23" s="354" t="s">
        <v>114</v>
      </c>
      <c r="B23" s="345" t="s">
        <v>178</v>
      </c>
      <c r="C23" s="354" t="s">
        <v>27</v>
      </c>
      <c r="D23" s="354" t="s">
        <v>155</v>
      </c>
      <c r="E23" s="591" t="s">
        <v>144</v>
      </c>
      <c r="F23" s="591"/>
      <c r="G23" s="344" t="s">
        <v>36</v>
      </c>
      <c r="H23" s="346">
        <v>2</v>
      </c>
      <c r="I23" s="279">
        <v>15.39</v>
      </c>
      <c r="J23" s="279">
        <v>1.84</v>
      </c>
      <c r="K23" s="279">
        <v>1.77</v>
      </c>
      <c r="L23" s="279">
        <f>SUM(I23:K23)</f>
        <v>19</v>
      </c>
      <c r="M23" s="279">
        <f t="shared" si="5"/>
        <v>30.78</v>
      </c>
      <c r="N23" s="279">
        <f t="shared" si="6"/>
        <v>7.22</v>
      </c>
      <c r="O23" s="279">
        <f>SUM(M23:N23)</f>
        <v>38</v>
      </c>
    </row>
    <row r="24" spans="1:15">
      <c r="A24" s="83"/>
      <c r="B24" s="83"/>
      <c r="C24" s="83"/>
      <c r="D24" s="83"/>
      <c r="E24" s="83"/>
      <c r="F24" s="40"/>
      <c r="G24" s="83"/>
      <c r="H24" s="40"/>
      <c r="I24" s="40"/>
      <c r="J24" s="40"/>
      <c r="K24" s="40"/>
      <c r="L24" s="83"/>
      <c r="M24" s="83"/>
      <c r="N24" s="83"/>
      <c r="O24" s="40"/>
    </row>
    <row r="25" spans="1:15" s="237" customFormat="1">
      <c r="A25" s="241"/>
      <c r="B25" s="241"/>
      <c r="C25" s="241"/>
      <c r="D25" s="241"/>
      <c r="E25" s="241"/>
      <c r="F25" s="180"/>
      <c r="G25" s="241"/>
      <c r="H25" s="180"/>
      <c r="I25" s="180"/>
      <c r="J25" s="180"/>
      <c r="K25" s="180"/>
      <c r="L25" s="241"/>
      <c r="M25" s="241"/>
      <c r="N25" s="241"/>
      <c r="O25" s="180"/>
    </row>
    <row r="26" spans="1:15" s="237" customFormat="1" ht="45">
      <c r="A26" s="235" t="s">
        <v>375</v>
      </c>
      <c r="B26" s="236" t="s">
        <v>8</v>
      </c>
      <c r="C26" s="235" t="s">
        <v>9</v>
      </c>
      <c r="D26" s="235" t="s">
        <v>10</v>
      </c>
      <c r="E26" s="547" t="s">
        <v>128</v>
      </c>
      <c r="F26" s="547"/>
      <c r="G26" s="234" t="s">
        <v>11</v>
      </c>
      <c r="H26" s="236" t="s">
        <v>12</v>
      </c>
      <c r="I26" s="236" t="s">
        <v>214</v>
      </c>
      <c r="J26" s="236" t="s">
        <v>215</v>
      </c>
      <c r="K26" s="236" t="s">
        <v>216</v>
      </c>
      <c r="L26" s="236" t="s">
        <v>13</v>
      </c>
      <c r="M26" s="236" t="s">
        <v>210</v>
      </c>
      <c r="N26" s="112" t="s">
        <v>211</v>
      </c>
      <c r="O26" s="236" t="s">
        <v>15</v>
      </c>
    </row>
    <row r="27" spans="1:15" s="229" customFormat="1" ht="39" customHeight="1">
      <c r="A27" s="230" t="s">
        <v>127</v>
      </c>
      <c r="B27" s="217" t="s">
        <v>350</v>
      </c>
      <c r="C27" s="230" t="s">
        <v>23</v>
      </c>
      <c r="D27" s="230" t="s">
        <v>361</v>
      </c>
      <c r="E27" s="594"/>
      <c r="F27" s="594"/>
      <c r="G27" s="216" t="s">
        <v>358</v>
      </c>
      <c r="H27" s="218">
        <v>1</v>
      </c>
      <c r="I27" s="212">
        <f>SUM(I28)</f>
        <v>15.39</v>
      </c>
      <c r="J27" s="212">
        <f>SUM(J28)</f>
        <v>1.84</v>
      </c>
      <c r="K27" s="212">
        <f>SUM(K28)</f>
        <v>1.77</v>
      </c>
      <c r="L27" s="212">
        <f>SUM(I27:K27)</f>
        <v>19</v>
      </c>
      <c r="M27" s="212">
        <f>SUM(M28)</f>
        <v>23.09</v>
      </c>
      <c r="N27" s="212">
        <f>SUM(N28)</f>
        <v>5.42</v>
      </c>
      <c r="O27" s="212">
        <f>SUM(O28)</f>
        <v>28.509999999999998</v>
      </c>
    </row>
    <row r="28" spans="1:15" s="229" customFormat="1" ht="24" customHeight="1">
      <c r="A28" s="231" t="s">
        <v>147</v>
      </c>
      <c r="B28" s="221" t="s">
        <v>156</v>
      </c>
      <c r="C28" s="231" t="s">
        <v>27</v>
      </c>
      <c r="D28" s="231" t="s">
        <v>155</v>
      </c>
      <c r="E28" s="590" t="s">
        <v>144</v>
      </c>
      <c r="F28" s="590"/>
      <c r="G28" s="220" t="s">
        <v>29</v>
      </c>
      <c r="H28" s="222">
        <v>1.5</v>
      </c>
      <c r="I28" s="177">
        <v>15.39</v>
      </c>
      <c r="J28" s="177">
        <v>1.84</v>
      </c>
      <c r="K28" s="177">
        <v>1.77</v>
      </c>
      <c r="L28" s="177">
        <f>SUM(I28:K28)</f>
        <v>19</v>
      </c>
      <c r="M28" s="177">
        <f t="shared" ref="M28" si="7">ROUND((I28*H28),2)</f>
        <v>23.09</v>
      </c>
      <c r="N28" s="177">
        <f t="shared" ref="N28" si="8">ROUND((SUM(J28:K28))*H28,2)</f>
        <v>5.42</v>
      </c>
      <c r="O28" s="177">
        <f>SUM(M28:N28)</f>
        <v>28.509999999999998</v>
      </c>
    </row>
    <row r="29" spans="1:15" s="252" customFormat="1" ht="24" customHeight="1">
      <c r="A29" s="247"/>
      <c r="B29" s="248"/>
      <c r="C29" s="247"/>
      <c r="D29" s="247"/>
      <c r="E29" s="247"/>
      <c r="F29" s="247"/>
      <c r="G29" s="249"/>
      <c r="H29" s="250"/>
      <c r="I29" s="251"/>
      <c r="J29" s="251"/>
      <c r="K29" s="251"/>
      <c r="L29" s="251"/>
      <c r="M29" s="251"/>
      <c r="N29" s="251"/>
      <c r="O29" s="251"/>
    </row>
    <row r="30" spans="1:15" s="252" customFormat="1" ht="45">
      <c r="A30" s="235" t="s">
        <v>376</v>
      </c>
      <c r="B30" s="236" t="s">
        <v>8</v>
      </c>
      <c r="C30" s="235" t="s">
        <v>9</v>
      </c>
      <c r="D30" s="235" t="s">
        <v>10</v>
      </c>
      <c r="E30" s="547" t="s">
        <v>128</v>
      </c>
      <c r="F30" s="547"/>
      <c r="G30" s="234" t="s">
        <v>11</v>
      </c>
      <c r="H30" s="236" t="s">
        <v>12</v>
      </c>
      <c r="I30" s="236" t="s">
        <v>214</v>
      </c>
      <c r="J30" s="236" t="s">
        <v>215</v>
      </c>
      <c r="K30" s="236" t="s">
        <v>216</v>
      </c>
      <c r="L30" s="236" t="s">
        <v>13</v>
      </c>
      <c r="M30" s="236" t="s">
        <v>210</v>
      </c>
      <c r="N30" s="112" t="s">
        <v>211</v>
      </c>
      <c r="O30" s="236" t="s">
        <v>15</v>
      </c>
    </row>
    <row r="31" spans="1:15" s="229" customFormat="1" ht="39" customHeight="1">
      <c r="A31" s="230" t="s">
        <v>127</v>
      </c>
      <c r="B31" s="217" t="s">
        <v>370</v>
      </c>
      <c r="C31" s="230" t="s">
        <v>23</v>
      </c>
      <c r="D31" s="230" t="s">
        <v>362</v>
      </c>
      <c r="E31" s="594"/>
      <c r="F31" s="594"/>
      <c r="G31" s="216" t="s">
        <v>369</v>
      </c>
      <c r="H31" s="218">
        <v>1</v>
      </c>
      <c r="I31" s="212">
        <f>SUM(I32)</f>
        <v>15.39</v>
      </c>
      <c r="J31" s="212">
        <f>SUM(J32)</f>
        <v>1.84</v>
      </c>
      <c r="K31" s="212">
        <f>SUM(K32)</f>
        <v>1.77</v>
      </c>
      <c r="L31" s="212">
        <f>SUM(I31:K31)</f>
        <v>19</v>
      </c>
      <c r="M31" s="212">
        <f>SUM(M32)</f>
        <v>461.7</v>
      </c>
      <c r="N31" s="212">
        <f>SUM(N32)</f>
        <v>108.3</v>
      </c>
      <c r="O31" s="212">
        <f>SUM(O32)</f>
        <v>570</v>
      </c>
    </row>
    <row r="32" spans="1:15" s="229" customFormat="1" ht="24" customHeight="1">
      <c r="A32" s="231" t="s">
        <v>147</v>
      </c>
      <c r="B32" s="221" t="s">
        <v>156</v>
      </c>
      <c r="C32" s="231" t="s">
        <v>27</v>
      </c>
      <c r="D32" s="231" t="s">
        <v>155</v>
      </c>
      <c r="E32" s="590" t="s">
        <v>144</v>
      </c>
      <c r="F32" s="590"/>
      <c r="G32" s="220" t="s">
        <v>29</v>
      </c>
      <c r="H32" s="222">
        <v>30</v>
      </c>
      <c r="I32" s="177">
        <v>15.39</v>
      </c>
      <c r="J32" s="177">
        <v>1.84</v>
      </c>
      <c r="K32" s="177">
        <v>1.77</v>
      </c>
      <c r="L32" s="177">
        <f>SUM(I32:K32)</f>
        <v>19</v>
      </c>
      <c r="M32" s="177">
        <f t="shared" ref="M32" si="9">ROUND((I32*H32),2)</f>
        <v>461.7</v>
      </c>
      <c r="N32" s="177">
        <f t="shared" ref="N32" si="10">ROUND((SUM(J32:K32))*H32,2)</f>
        <v>108.3</v>
      </c>
      <c r="O32" s="177">
        <f t="shared" ref="O32" si="11">SUM(M32:N32)</f>
        <v>570</v>
      </c>
    </row>
    <row r="33" spans="1:16" s="229" customFormat="1">
      <c r="A33" s="232"/>
      <c r="B33" s="232"/>
      <c r="C33" s="232"/>
      <c r="D33" s="232"/>
      <c r="E33" s="232"/>
      <c r="F33" s="180"/>
      <c r="G33" s="232"/>
      <c r="H33" s="180"/>
      <c r="I33" s="180"/>
      <c r="J33" s="180"/>
      <c r="K33" s="180"/>
      <c r="L33" s="232"/>
      <c r="M33" s="232"/>
      <c r="N33" s="232"/>
      <c r="O33" s="180"/>
    </row>
    <row r="34" spans="1:16" s="237" customFormat="1" ht="45">
      <c r="A34" s="235" t="s">
        <v>377</v>
      </c>
      <c r="B34" s="236" t="s">
        <v>8</v>
      </c>
      <c r="C34" s="235" t="s">
        <v>9</v>
      </c>
      <c r="D34" s="235" t="s">
        <v>10</v>
      </c>
      <c r="E34" s="547" t="s">
        <v>128</v>
      </c>
      <c r="F34" s="547"/>
      <c r="G34" s="234" t="s">
        <v>11</v>
      </c>
      <c r="H34" s="236" t="s">
        <v>12</v>
      </c>
      <c r="I34" s="236" t="s">
        <v>214</v>
      </c>
      <c r="J34" s="236" t="s">
        <v>215</v>
      </c>
      <c r="K34" s="236" t="s">
        <v>216</v>
      </c>
      <c r="L34" s="236" t="s">
        <v>13</v>
      </c>
      <c r="M34" s="236" t="s">
        <v>210</v>
      </c>
      <c r="N34" s="112" t="s">
        <v>211</v>
      </c>
      <c r="O34" s="236" t="s">
        <v>15</v>
      </c>
    </row>
    <row r="35" spans="1:16" s="229" customFormat="1" ht="39" customHeight="1">
      <c r="A35" s="230" t="s">
        <v>127</v>
      </c>
      <c r="B35" s="217" t="s">
        <v>368</v>
      </c>
      <c r="C35" s="230" t="s">
        <v>23</v>
      </c>
      <c r="D35" s="230" t="s">
        <v>348</v>
      </c>
      <c r="E35" s="594"/>
      <c r="F35" s="594"/>
      <c r="G35" s="216" t="s">
        <v>36</v>
      </c>
      <c r="H35" s="218">
        <v>1</v>
      </c>
      <c r="I35" s="212">
        <f>SUM(I36:I37)</f>
        <v>15.39</v>
      </c>
      <c r="J35" s="212">
        <f>SUM(J36:J37)</f>
        <v>1.84</v>
      </c>
      <c r="K35" s="212">
        <f>SUM(K36:K37)</f>
        <v>3.85</v>
      </c>
      <c r="L35" s="212">
        <f>SUM(I35:K35)</f>
        <v>21.080000000000002</v>
      </c>
      <c r="M35" s="212">
        <f>SUM(M36:M37)</f>
        <v>3.08</v>
      </c>
      <c r="N35" s="212">
        <f>SUM(N36:N37)</f>
        <v>3.2199999999999998</v>
      </c>
      <c r="O35" s="212">
        <f>SUM(O36:O37)</f>
        <v>6.3</v>
      </c>
    </row>
    <row r="36" spans="1:16" s="229" customFormat="1" ht="24" customHeight="1">
      <c r="A36" s="231" t="s">
        <v>147</v>
      </c>
      <c r="B36" s="221" t="s">
        <v>156</v>
      </c>
      <c r="C36" s="231" t="s">
        <v>27</v>
      </c>
      <c r="D36" s="231" t="s">
        <v>155</v>
      </c>
      <c r="E36" s="590" t="s">
        <v>144</v>
      </c>
      <c r="F36" s="590"/>
      <c r="G36" s="220" t="s">
        <v>29</v>
      </c>
      <c r="H36" s="222">
        <v>0.2</v>
      </c>
      <c r="I36" s="177">
        <v>15.39</v>
      </c>
      <c r="J36" s="177">
        <v>1.84</v>
      </c>
      <c r="K36" s="177">
        <v>1.77</v>
      </c>
      <c r="L36" s="177">
        <f>SUM(I36:K36)</f>
        <v>19</v>
      </c>
      <c r="M36" s="177">
        <f t="shared" ref="M36:M37" si="12">ROUND((I36*H36),2)</f>
        <v>3.08</v>
      </c>
      <c r="N36" s="177">
        <f t="shared" ref="N36:N37" si="13">ROUND((SUM(J36:K36))*H36,2)</f>
        <v>0.72</v>
      </c>
      <c r="O36" s="177">
        <f t="shared" ref="O36:O37" si="14">SUM(M36:N36)</f>
        <v>3.8</v>
      </c>
    </row>
    <row r="37" spans="1:16" s="229" customFormat="1" ht="30" customHeight="1">
      <c r="A37" s="486" t="s">
        <v>114</v>
      </c>
      <c r="B37" s="488" t="s">
        <v>178</v>
      </c>
      <c r="C37" s="486" t="s">
        <v>27</v>
      </c>
      <c r="D37" s="486" t="s">
        <v>351</v>
      </c>
      <c r="E37" s="595" t="s">
        <v>111</v>
      </c>
      <c r="F37" s="595"/>
      <c r="G37" s="489" t="s">
        <v>36</v>
      </c>
      <c r="H37" s="315">
        <v>1.2</v>
      </c>
      <c r="I37" s="316">
        <v>0</v>
      </c>
      <c r="J37" s="316">
        <v>0</v>
      </c>
      <c r="K37" s="316">
        <v>2.08</v>
      </c>
      <c r="L37" s="316">
        <f>SUM(I37:K37)</f>
        <v>2.08</v>
      </c>
      <c r="M37" s="316">
        <f t="shared" si="12"/>
        <v>0</v>
      </c>
      <c r="N37" s="316">
        <f t="shared" si="13"/>
        <v>2.5</v>
      </c>
      <c r="O37" s="316">
        <f t="shared" si="14"/>
        <v>2.5</v>
      </c>
    </row>
    <row r="38" spans="1:16" ht="12.75" customHeight="1">
      <c r="A38" s="487"/>
      <c r="B38" s="485"/>
      <c r="C38" s="485"/>
      <c r="D38" s="487"/>
      <c r="E38" s="485"/>
      <c r="F38" s="490"/>
      <c r="G38" s="485"/>
      <c r="H38" s="485"/>
      <c r="I38" s="485"/>
      <c r="J38" s="485"/>
      <c r="K38" s="485"/>
      <c r="L38" s="485"/>
      <c r="M38" s="485"/>
      <c r="N38" s="485"/>
      <c r="O38" s="490"/>
    </row>
    <row r="39" spans="1:16" ht="16.5" customHeight="1">
      <c r="A39" s="487"/>
      <c r="B39" s="487"/>
      <c r="C39" s="487"/>
      <c r="D39" s="487"/>
      <c r="E39" s="487"/>
      <c r="F39" s="487"/>
      <c r="G39" s="487"/>
      <c r="H39" s="487"/>
      <c r="I39" s="487"/>
      <c r="J39" s="487"/>
      <c r="K39" s="487"/>
      <c r="L39" s="487"/>
      <c r="M39" s="487"/>
      <c r="N39" s="487"/>
      <c r="O39" s="487"/>
      <c r="P39" s="487"/>
    </row>
    <row r="40" spans="1:16" s="480" customFormat="1" ht="35.25" customHeight="1">
      <c r="A40" s="478" t="s">
        <v>470</v>
      </c>
      <c r="B40" s="479" t="s">
        <v>8</v>
      </c>
      <c r="C40" s="478" t="s">
        <v>9</v>
      </c>
      <c r="D40" s="478" t="s">
        <v>10</v>
      </c>
      <c r="E40" s="547" t="s">
        <v>128</v>
      </c>
      <c r="F40" s="547"/>
      <c r="G40" s="477" t="s">
        <v>11</v>
      </c>
      <c r="H40" s="479" t="s">
        <v>12</v>
      </c>
      <c r="I40" s="479" t="s">
        <v>214</v>
      </c>
      <c r="J40" s="479" t="s">
        <v>215</v>
      </c>
      <c r="K40" s="479" t="s">
        <v>216</v>
      </c>
      <c r="L40" s="479" t="s">
        <v>13</v>
      </c>
      <c r="M40" s="479" t="s">
        <v>210</v>
      </c>
      <c r="N40" s="112" t="s">
        <v>211</v>
      </c>
      <c r="O40" s="479" t="s">
        <v>15</v>
      </c>
    </row>
    <row r="41" spans="1:16" s="480" customFormat="1" ht="27.75" customHeight="1">
      <c r="A41" s="483" t="s">
        <v>127</v>
      </c>
      <c r="B41" s="472" t="s">
        <v>623</v>
      </c>
      <c r="C41" s="483" t="s">
        <v>23</v>
      </c>
      <c r="D41" s="483" t="s">
        <v>468</v>
      </c>
      <c r="E41" s="594"/>
      <c r="F41" s="594"/>
      <c r="G41" s="471" t="s">
        <v>628</v>
      </c>
      <c r="H41" s="438">
        <v>1</v>
      </c>
      <c r="I41" s="473">
        <f t="shared" ref="I41:O41" si="15">SUM(I42:I43)</f>
        <v>0</v>
      </c>
      <c r="J41" s="473">
        <f t="shared" si="15"/>
        <v>0</v>
      </c>
      <c r="K41" s="473">
        <f t="shared" si="15"/>
        <v>40.950000000000003</v>
      </c>
      <c r="L41" s="473">
        <f t="shared" si="15"/>
        <v>48.93</v>
      </c>
      <c r="M41" s="473">
        <f t="shared" si="15"/>
        <v>0</v>
      </c>
      <c r="N41" s="473">
        <f t="shared" si="15"/>
        <v>232.2</v>
      </c>
      <c r="O41" s="473">
        <f t="shared" si="15"/>
        <v>232.2</v>
      </c>
    </row>
    <row r="42" spans="1:16" s="480" customFormat="1" ht="14.25" customHeight="1">
      <c r="A42" s="482" t="s">
        <v>114</v>
      </c>
      <c r="B42" s="445">
        <v>6212</v>
      </c>
      <c r="C42" s="482" t="s">
        <v>27</v>
      </c>
      <c r="D42" s="482" t="s">
        <v>625</v>
      </c>
      <c r="E42" s="591" t="s">
        <v>111</v>
      </c>
      <c r="F42" s="591"/>
      <c r="G42" s="444" t="s">
        <v>40</v>
      </c>
      <c r="H42" s="446">
        <v>5</v>
      </c>
      <c r="I42" s="374">
        <v>0</v>
      </c>
      <c r="J42" s="374">
        <v>0</v>
      </c>
      <c r="K42" s="374">
        <v>13.5</v>
      </c>
      <c r="L42" s="374">
        <v>21.48</v>
      </c>
      <c r="M42" s="374">
        <f>ROUND(I42*H42,2)</f>
        <v>0</v>
      </c>
      <c r="N42" s="374">
        <f>ROUND(SUM(J42:K42)*H42,2)</f>
        <v>67.5</v>
      </c>
      <c r="O42" s="374">
        <f>SUM(M42:N42)</f>
        <v>67.5</v>
      </c>
    </row>
    <row r="43" spans="1:16" s="480" customFormat="1" ht="25.5">
      <c r="A43" s="482" t="s">
        <v>114</v>
      </c>
      <c r="B43" s="445">
        <v>10527</v>
      </c>
      <c r="C43" s="482" t="s">
        <v>27</v>
      </c>
      <c r="D43" s="482" t="s">
        <v>624</v>
      </c>
      <c r="E43" s="591" t="s">
        <v>111</v>
      </c>
      <c r="F43" s="591"/>
      <c r="G43" s="444" t="s">
        <v>628</v>
      </c>
      <c r="H43" s="446">
        <v>6</v>
      </c>
      <c r="I43" s="374">
        <v>0</v>
      </c>
      <c r="J43" s="374">
        <v>0</v>
      </c>
      <c r="K43" s="374">
        <v>27.45</v>
      </c>
      <c r="L43" s="374">
        <f>SUM(I43:K43)</f>
        <v>27.45</v>
      </c>
      <c r="M43" s="374">
        <f>ROUND(I43*H43,2)</f>
        <v>0</v>
      </c>
      <c r="N43" s="374">
        <f>ROUND(SUM(J43:K43)*H43,2)</f>
        <v>164.7</v>
      </c>
      <c r="O43" s="374">
        <f>SUM(M43:N43)</f>
        <v>164.7</v>
      </c>
    </row>
    <row r="44" spans="1:16" s="480" customFormat="1" ht="14.25" customHeight="1">
      <c r="A44" s="487"/>
      <c r="B44" s="487"/>
      <c r="C44" s="485"/>
      <c r="D44" s="485"/>
      <c r="E44" s="485"/>
      <c r="F44" s="485"/>
      <c r="G44" s="485"/>
      <c r="H44" s="485"/>
      <c r="I44" s="485"/>
      <c r="J44" s="485"/>
      <c r="K44" s="485"/>
      <c r="L44" s="487"/>
      <c r="M44" s="485"/>
      <c r="N44" s="485"/>
      <c r="O44" s="485"/>
    </row>
    <row r="45" spans="1:16" ht="15" thickBot="1">
      <c r="A45" s="487"/>
      <c r="B45" s="83"/>
      <c r="C45" s="487"/>
      <c r="D45" s="83"/>
      <c r="E45" s="83"/>
      <c r="F45" s="40"/>
      <c r="G45" s="83"/>
      <c r="H45" s="596"/>
      <c r="I45" s="596"/>
      <c r="J45" s="596"/>
      <c r="K45" s="596"/>
      <c r="L45" s="596"/>
      <c r="M45" s="83"/>
      <c r="N45" s="83"/>
      <c r="O45" s="40"/>
    </row>
    <row r="46" spans="1:16" ht="0.95" customHeight="1" thickTop="1">
      <c r="A46" s="39"/>
      <c r="B46" s="39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</row>
    <row r="47" spans="1:16" ht="30.75" customHeight="1">
      <c r="A47" s="77" t="s">
        <v>45</v>
      </c>
      <c r="B47" s="73" t="s">
        <v>8</v>
      </c>
      <c r="C47" s="77" t="s">
        <v>9</v>
      </c>
      <c r="D47" s="77" t="s">
        <v>10</v>
      </c>
      <c r="E47" s="547" t="s">
        <v>128</v>
      </c>
      <c r="F47" s="547"/>
      <c r="G47" s="78" t="s">
        <v>11</v>
      </c>
      <c r="H47" s="73" t="s">
        <v>12</v>
      </c>
      <c r="I47" s="109" t="s">
        <v>214</v>
      </c>
      <c r="J47" s="109" t="s">
        <v>215</v>
      </c>
      <c r="K47" s="109" t="s">
        <v>216</v>
      </c>
      <c r="L47" s="73" t="s">
        <v>13</v>
      </c>
      <c r="M47" s="73" t="s">
        <v>210</v>
      </c>
      <c r="N47" s="112" t="s">
        <v>211</v>
      </c>
      <c r="O47" s="73" t="s">
        <v>15</v>
      </c>
    </row>
    <row r="48" spans="1:16" ht="26.1" customHeight="1">
      <c r="A48" s="81" t="s">
        <v>127</v>
      </c>
      <c r="B48" s="48" t="s">
        <v>217</v>
      </c>
      <c r="C48" s="81" t="s">
        <v>23</v>
      </c>
      <c r="D48" s="81" t="s">
        <v>648</v>
      </c>
      <c r="E48" s="594" t="s">
        <v>170</v>
      </c>
      <c r="F48" s="594"/>
      <c r="G48" s="47" t="s">
        <v>36</v>
      </c>
      <c r="H48" s="46">
        <v>1</v>
      </c>
      <c r="I48" s="45">
        <f>SUM(I49:I51)</f>
        <v>170.66000000000003</v>
      </c>
      <c r="J48" s="45">
        <f t="shared" ref="J48" si="16">SUM(J49:J51)</f>
        <v>19.580000000000002</v>
      </c>
      <c r="K48" s="45">
        <f>SUM(K49:K51)</f>
        <v>620.98</v>
      </c>
      <c r="L48" s="45">
        <f>SUM(L49:L51)</f>
        <v>811.22</v>
      </c>
      <c r="M48" s="45">
        <f>SUM(M49:M51)</f>
        <v>53.23</v>
      </c>
      <c r="N48" s="45">
        <f>SUM(N49:N51)</f>
        <v>39.33</v>
      </c>
      <c r="O48" s="45">
        <f>SUM(O49:O51)</f>
        <v>92.559999999999988</v>
      </c>
    </row>
    <row r="49" spans="1:15" ht="39" customHeight="1">
      <c r="A49" s="82" t="s">
        <v>147</v>
      </c>
      <c r="B49" s="53" t="s">
        <v>169</v>
      </c>
      <c r="C49" s="82" t="s">
        <v>27</v>
      </c>
      <c r="D49" s="82" t="s">
        <v>168</v>
      </c>
      <c r="E49" s="590" t="s">
        <v>144</v>
      </c>
      <c r="F49" s="590"/>
      <c r="G49" s="52" t="s">
        <v>41</v>
      </c>
      <c r="H49" s="51">
        <v>4.8099999999999997E-2</v>
      </c>
      <c r="I49" s="50">
        <v>131.58000000000001</v>
      </c>
      <c r="J49" s="50">
        <v>15.73</v>
      </c>
      <c r="K49" s="50">
        <v>617.44000000000005</v>
      </c>
      <c r="L49" s="50">
        <f>SUM(I49:K49)</f>
        <v>764.75</v>
      </c>
      <c r="M49" s="50">
        <f>ROUND(I49*H49,2)</f>
        <v>6.33</v>
      </c>
      <c r="N49" s="50">
        <f>ROUND(SUM(J49:K49)*H49,2)</f>
        <v>30.46</v>
      </c>
      <c r="O49" s="50">
        <f>SUM(M49:N49)</f>
        <v>36.79</v>
      </c>
    </row>
    <row r="50" spans="1:15" ht="24" customHeight="1">
      <c r="A50" s="82" t="s">
        <v>147</v>
      </c>
      <c r="B50" s="53" t="s">
        <v>167</v>
      </c>
      <c r="C50" s="82" t="s">
        <v>27</v>
      </c>
      <c r="D50" s="82" t="s">
        <v>166</v>
      </c>
      <c r="E50" s="590" t="s">
        <v>144</v>
      </c>
      <c r="F50" s="590"/>
      <c r="G50" s="52" t="s">
        <v>29</v>
      </c>
      <c r="H50" s="51">
        <v>1.2</v>
      </c>
      <c r="I50" s="50">
        <v>23.69</v>
      </c>
      <c r="J50" s="50">
        <v>2.0099999999999998</v>
      </c>
      <c r="K50" s="50">
        <v>1.77</v>
      </c>
      <c r="L50" s="50">
        <f t="shared" ref="L50:L51" si="17">SUM(I50:K50)</f>
        <v>27.470000000000002</v>
      </c>
      <c r="M50" s="50">
        <f t="shared" ref="M50:M51" si="18">ROUND(I50*H50,2)</f>
        <v>28.43</v>
      </c>
      <c r="N50" s="50">
        <f t="shared" ref="N50:N51" si="19">ROUND(SUM(J50:K50)*H50,2)</f>
        <v>4.54</v>
      </c>
      <c r="O50" s="50">
        <f t="shared" ref="O50:O51" si="20">SUM(M50:N50)</f>
        <v>32.97</v>
      </c>
    </row>
    <row r="51" spans="1:15" ht="24" customHeight="1">
      <c r="A51" s="82" t="s">
        <v>147</v>
      </c>
      <c r="B51" s="53" t="s">
        <v>156</v>
      </c>
      <c r="C51" s="82" t="s">
        <v>27</v>
      </c>
      <c r="D51" s="82" t="s">
        <v>155</v>
      </c>
      <c r="E51" s="590" t="s">
        <v>144</v>
      </c>
      <c r="F51" s="590"/>
      <c r="G51" s="52" t="s">
        <v>29</v>
      </c>
      <c r="H51" s="51">
        <v>1.2</v>
      </c>
      <c r="I51" s="50">
        <v>15.39</v>
      </c>
      <c r="J51" s="50">
        <v>1.84</v>
      </c>
      <c r="K51" s="50">
        <v>1.77</v>
      </c>
      <c r="L51" s="50">
        <f t="shared" si="17"/>
        <v>19</v>
      </c>
      <c r="M51" s="50">
        <f t="shared" si="18"/>
        <v>18.47</v>
      </c>
      <c r="N51" s="50">
        <f t="shared" si="19"/>
        <v>4.33</v>
      </c>
      <c r="O51" s="50">
        <f t="shared" si="20"/>
        <v>22.799999999999997</v>
      </c>
    </row>
    <row r="52" spans="1:15">
      <c r="A52" s="83"/>
      <c r="B52" s="83"/>
      <c r="C52" s="83"/>
      <c r="D52" s="83"/>
      <c r="E52" s="83"/>
      <c r="F52" s="40"/>
      <c r="G52" s="83"/>
      <c r="H52" s="40"/>
      <c r="I52" s="40"/>
      <c r="J52" s="40"/>
      <c r="K52" s="40"/>
      <c r="L52" s="83"/>
      <c r="M52" s="83"/>
      <c r="N52" s="83"/>
      <c r="O52" s="40"/>
    </row>
    <row r="53" spans="1:15" s="237" customFormat="1" ht="45">
      <c r="A53" s="235" t="s">
        <v>374</v>
      </c>
      <c r="B53" s="236" t="s">
        <v>8</v>
      </c>
      <c r="C53" s="235" t="s">
        <v>9</v>
      </c>
      <c r="D53" s="235" t="s">
        <v>10</v>
      </c>
      <c r="E53" s="547" t="s">
        <v>128</v>
      </c>
      <c r="F53" s="547"/>
      <c r="G53" s="234" t="s">
        <v>11</v>
      </c>
      <c r="H53" s="236" t="s">
        <v>12</v>
      </c>
      <c r="I53" s="236" t="s">
        <v>214</v>
      </c>
      <c r="J53" s="236" t="s">
        <v>215</v>
      </c>
      <c r="K53" s="236" t="s">
        <v>216</v>
      </c>
      <c r="L53" s="236" t="s">
        <v>13</v>
      </c>
      <c r="M53" s="236" t="s">
        <v>210</v>
      </c>
      <c r="N53" s="112" t="s">
        <v>211</v>
      </c>
      <c r="O53" s="236" t="s">
        <v>15</v>
      </c>
    </row>
    <row r="54" spans="1:15" s="237" customFormat="1">
      <c r="A54" s="239" t="s">
        <v>127</v>
      </c>
      <c r="B54" s="217" t="s">
        <v>379</v>
      </c>
      <c r="C54" s="239" t="s">
        <v>23</v>
      </c>
      <c r="D54" s="239" t="s">
        <v>649</v>
      </c>
      <c r="E54" s="594" t="s">
        <v>380</v>
      </c>
      <c r="F54" s="594"/>
      <c r="G54" s="216" t="s">
        <v>40</v>
      </c>
      <c r="H54" s="218">
        <v>1</v>
      </c>
      <c r="I54" s="212">
        <f>SUM(I55:I58)</f>
        <v>39.08</v>
      </c>
      <c r="J54" s="212">
        <f t="shared" ref="J54:O54" si="21">SUM(J55:J58)</f>
        <v>3.8499999999999996</v>
      </c>
      <c r="K54" s="212">
        <f t="shared" si="21"/>
        <v>65.289999999999992</v>
      </c>
      <c r="L54" s="212">
        <f>SUM(L55:L58)</f>
        <v>108.22</v>
      </c>
      <c r="M54" s="212">
        <f t="shared" si="21"/>
        <v>4.54</v>
      </c>
      <c r="N54" s="212">
        <f t="shared" si="21"/>
        <v>52.349999999999994</v>
      </c>
      <c r="O54" s="212">
        <f t="shared" si="21"/>
        <v>56.89</v>
      </c>
    </row>
    <row r="55" spans="1:15" s="237" customFormat="1" ht="25.5">
      <c r="A55" s="238" t="s">
        <v>147</v>
      </c>
      <c r="B55" s="221" t="s">
        <v>167</v>
      </c>
      <c r="C55" s="238" t="s">
        <v>27</v>
      </c>
      <c r="D55" s="238" t="s">
        <v>166</v>
      </c>
      <c r="E55" s="590" t="s">
        <v>144</v>
      </c>
      <c r="F55" s="590"/>
      <c r="G55" s="220" t="s">
        <v>29</v>
      </c>
      <c r="H55" s="222">
        <v>0.14419999999999999</v>
      </c>
      <c r="I55" s="177">
        <v>23.69</v>
      </c>
      <c r="J55" s="177">
        <v>2.0099999999999998</v>
      </c>
      <c r="K55" s="177">
        <v>1.77</v>
      </c>
      <c r="L55" s="177">
        <f>SUM(I55:K55)</f>
        <v>27.470000000000002</v>
      </c>
      <c r="M55" s="177">
        <f>ROUND(I55*H55,2)</f>
        <v>3.42</v>
      </c>
      <c r="N55" s="177">
        <f>ROUND(SUM(J55:K55)*H55,2)</f>
        <v>0.55000000000000004</v>
      </c>
      <c r="O55" s="177">
        <f>SUM(M55:N55)</f>
        <v>3.9699999999999998</v>
      </c>
    </row>
    <row r="56" spans="1:15" s="237" customFormat="1" ht="25.5">
      <c r="A56" s="238" t="s">
        <v>147</v>
      </c>
      <c r="B56" s="221" t="s">
        <v>156</v>
      </c>
      <c r="C56" s="238" t="s">
        <v>27</v>
      </c>
      <c r="D56" s="238" t="s">
        <v>155</v>
      </c>
      <c r="E56" s="590" t="s">
        <v>144</v>
      </c>
      <c r="F56" s="590"/>
      <c r="G56" s="220" t="s">
        <v>29</v>
      </c>
      <c r="H56" s="222">
        <v>7.2800000000000004E-2</v>
      </c>
      <c r="I56" s="177">
        <v>15.39</v>
      </c>
      <c r="J56" s="177">
        <v>1.84</v>
      </c>
      <c r="K56" s="177">
        <v>1.77</v>
      </c>
      <c r="L56" s="370">
        <f t="shared" ref="L56:L58" si="22">SUM(I56:K56)</f>
        <v>19</v>
      </c>
      <c r="M56" s="177">
        <f>ROUND(I56*H56,2)</f>
        <v>1.1200000000000001</v>
      </c>
      <c r="N56" s="177">
        <f>ROUND(SUM(J56:K56)*H56,2)</f>
        <v>0.26</v>
      </c>
      <c r="O56" s="177">
        <f>SUM(M56:N56)</f>
        <v>1.3800000000000001</v>
      </c>
    </row>
    <row r="57" spans="1:15" s="237" customFormat="1">
      <c r="A57" s="240" t="s">
        <v>114</v>
      </c>
      <c r="B57" s="225" t="s">
        <v>381</v>
      </c>
      <c r="C57" s="240" t="s">
        <v>27</v>
      </c>
      <c r="D57" s="240" t="s">
        <v>382</v>
      </c>
      <c r="E57" s="591" t="s">
        <v>111</v>
      </c>
      <c r="F57" s="591"/>
      <c r="G57" s="224" t="s">
        <v>141</v>
      </c>
      <c r="H57" s="226">
        <v>0.46200000000000002</v>
      </c>
      <c r="I57" s="178">
        <v>0</v>
      </c>
      <c r="J57" s="178">
        <v>0</v>
      </c>
      <c r="K57" s="178">
        <v>35.54</v>
      </c>
      <c r="L57" s="374">
        <f t="shared" si="22"/>
        <v>35.54</v>
      </c>
      <c r="M57" s="178">
        <f>ROUND(I57*H57,2)</f>
        <v>0</v>
      </c>
      <c r="N57" s="178">
        <f>ROUND(SUM(J57:K57)*H57,2)</f>
        <v>16.420000000000002</v>
      </c>
      <c r="O57" s="178">
        <f>SUM(M57:N57)</f>
        <v>16.420000000000002</v>
      </c>
    </row>
    <row r="58" spans="1:15" s="237" customFormat="1">
      <c r="A58" s="240" t="s">
        <v>114</v>
      </c>
      <c r="B58" s="225" t="s">
        <v>383</v>
      </c>
      <c r="C58" s="240" t="s">
        <v>332</v>
      </c>
      <c r="D58" s="240" t="s">
        <v>384</v>
      </c>
      <c r="E58" s="591" t="s">
        <v>111</v>
      </c>
      <c r="F58" s="591"/>
      <c r="G58" s="224" t="s">
        <v>40</v>
      </c>
      <c r="H58" s="226">
        <v>1.34</v>
      </c>
      <c r="I58" s="178">
        <v>0</v>
      </c>
      <c r="J58" s="178">
        <v>0</v>
      </c>
      <c r="K58" s="178">
        <v>26.21</v>
      </c>
      <c r="L58" s="374">
        <f t="shared" si="22"/>
        <v>26.21</v>
      </c>
      <c r="M58" s="178">
        <f>ROUND(I58*H58,2)</f>
        <v>0</v>
      </c>
      <c r="N58" s="178">
        <f>ROUND(SUM(J58:K58)*H58,2)</f>
        <v>35.119999999999997</v>
      </c>
      <c r="O58" s="178">
        <f>SUM(M58:N58)</f>
        <v>35.119999999999997</v>
      </c>
    </row>
    <row r="59" spans="1:15" s="181" customFormat="1">
      <c r="A59" s="179"/>
      <c r="B59" s="179"/>
      <c r="C59" s="179"/>
      <c r="D59" s="179"/>
      <c r="E59" s="179"/>
      <c r="F59" s="180"/>
      <c r="G59" s="179"/>
      <c r="H59" s="180"/>
      <c r="I59" s="180"/>
      <c r="J59" s="180"/>
      <c r="K59" s="180"/>
      <c r="L59" s="179"/>
      <c r="M59" s="179"/>
      <c r="N59" s="179"/>
      <c r="O59" s="180"/>
    </row>
    <row r="60" spans="1:15" s="181" customFormat="1" ht="45">
      <c r="A60" s="189" t="s">
        <v>311</v>
      </c>
      <c r="B60" s="182" t="s">
        <v>8</v>
      </c>
      <c r="C60" s="189" t="s">
        <v>9</v>
      </c>
      <c r="D60" s="189" t="s">
        <v>10</v>
      </c>
      <c r="E60" s="547" t="s">
        <v>128</v>
      </c>
      <c r="F60" s="547"/>
      <c r="G60" s="190" t="s">
        <v>11</v>
      </c>
      <c r="H60" s="182" t="s">
        <v>12</v>
      </c>
      <c r="I60" s="182" t="s">
        <v>214</v>
      </c>
      <c r="J60" s="182" t="s">
        <v>215</v>
      </c>
      <c r="K60" s="182" t="s">
        <v>216</v>
      </c>
      <c r="L60" s="182" t="s">
        <v>13</v>
      </c>
      <c r="M60" s="182" t="s">
        <v>210</v>
      </c>
      <c r="N60" s="112" t="s">
        <v>211</v>
      </c>
      <c r="O60" s="182" t="s">
        <v>15</v>
      </c>
    </row>
    <row r="61" spans="1:15" s="181" customFormat="1" ht="14.25" customHeight="1">
      <c r="A61" s="192" t="s">
        <v>127</v>
      </c>
      <c r="B61" s="194" t="s">
        <v>327</v>
      </c>
      <c r="C61" s="192" t="s">
        <v>23</v>
      </c>
      <c r="D61" s="192" t="s">
        <v>312</v>
      </c>
      <c r="E61" s="594" t="s">
        <v>313</v>
      </c>
      <c r="F61" s="594"/>
      <c r="G61" s="193" t="s">
        <v>36</v>
      </c>
      <c r="H61" s="195">
        <v>1</v>
      </c>
      <c r="I61" s="186">
        <f t="shared" ref="I61:O61" si="23">SUM(I62:I68)</f>
        <v>38.620000000000005</v>
      </c>
      <c r="J61" s="186">
        <f t="shared" si="23"/>
        <v>3.8499999999999996</v>
      </c>
      <c r="K61" s="186">
        <f t="shared" si="23"/>
        <v>157.99</v>
      </c>
      <c r="L61" s="186">
        <f t="shared" si="23"/>
        <v>200.45999999999998</v>
      </c>
      <c r="M61" s="186">
        <f t="shared" si="23"/>
        <v>19.53</v>
      </c>
      <c r="N61" s="186">
        <f t="shared" si="23"/>
        <v>53.209999999999994</v>
      </c>
      <c r="O61" s="186">
        <f t="shared" si="23"/>
        <v>72.739999999999995</v>
      </c>
    </row>
    <row r="62" spans="1:15" s="181" customFormat="1" ht="25.5">
      <c r="A62" s="196" t="s">
        <v>147</v>
      </c>
      <c r="B62" s="198" t="s">
        <v>314</v>
      </c>
      <c r="C62" s="196" t="s">
        <v>27</v>
      </c>
      <c r="D62" s="196" t="s">
        <v>315</v>
      </c>
      <c r="E62" s="590" t="s">
        <v>144</v>
      </c>
      <c r="F62" s="590"/>
      <c r="G62" s="197" t="s">
        <v>29</v>
      </c>
      <c r="H62" s="199">
        <v>0.63129999999999997</v>
      </c>
      <c r="I62" s="177">
        <v>23.23</v>
      </c>
      <c r="J62" s="177">
        <v>2.0099999999999998</v>
      </c>
      <c r="K62" s="177">
        <v>1.77</v>
      </c>
      <c r="L62" s="177">
        <f>SUM(I62:K62)</f>
        <v>27.01</v>
      </c>
      <c r="M62" s="177">
        <f>ROUND(I62*H62,2)</f>
        <v>14.67</v>
      </c>
      <c r="N62" s="177">
        <f>ROUND(SUM(J62:K62)*H62,2)</f>
        <v>2.39</v>
      </c>
      <c r="O62" s="177">
        <f>SUM(M62:N62)</f>
        <v>17.059999999999999</v>
      </c>
    </row>
    <row r="63" spans="1:15" s="181" customFormat="1" ht="25.5">
      <c r="A63" s="196" t="s">
        <v>147</v>
      </c>
      <c r="B63" s="198" t="s">
        <v>156</v>
      </c>
      <c r="C63" s="196" t="s">
        <v>27</v>
      </c>
      <c r="D63" s="196" t="s">
        <v>155</v>
      </c>
      <c r="E63" s="590" t="s">
        <v>144</v>
      </c>
      <c r="F63" s="590"/>
      <c r="G63" s="197" t="s">
        <v>29</v>
      </c>
      <c r="H63" s="199">
        <v>0.31559999999999999</v>
      </c>
      <c r="I63" s="177">
        <v>15.39</v>
      </c>
      <c r="J63" s="177">
        <v>1.84</v>
      </c>
      <c r="K63" s="177">
        <v>1.77</v>
      </c>
      <c r="L63" s="370">
        <f t="shared" ref="L63:L68" si="24">SUM(I63:K63)</f>
        <v>19</v>
      </c>
      <c r="M63" s="177">
        <f>ROUND(I63*H63,2)</f>
        <v>4.8600000000000003</v>
      </c>
      <c r="N63" s="177">
        <f>ROUND(SUM(J63:K63)*H63,2)</f>
        <v>1.1399999999999999</v>
      </c>
      <c r="O63" s="177">
        <f>SUM(M63:N63)</f>
        <v>6</v>
      </c>
    </row>
    <row r="64" spans="1:15" s="181" customFormat="1" ht="18" customHeight="1">
      <c r="A64" s="200" t="s">
        <v>114</v>
      </c>
      <c r="B64" s="202" t="s">
        <v>316</v>
      </c>
      <c r="C64" s="200" t="s">
        <v>27</v>
      </c>
      <c r="D64" s="200" t="s">
        <v>317</v>
      </c>
      <c r="E64" s="591" t="s">
        <v>111</v>
      </c>
      <c r="F64" s="591"/>
      <c r="G64" s="201" t="s">
        <v>141</v>
      </c>
      <c r="H64" s="203">
        <v>2.5000000000000001E-2</v>
      </c>
      <c r="I64" s="178">
        <v>0</v>
      </c>
      <c r="J64" s="178">
        <v>0</v>
      </c>
      <c r="K64" s="178">
        <v>42.79</v>
      </c>
      <c r="L64" s="374">
        <f t="shared" si="24"/>
        <v>42.79</v>
      </c>
      <c r="M64" s="178">
        <f t="shared" ref="M64:M68" si="25">ROUND(I64*H64,2)</f>
        <v>0</v>
      </c>
      <c r="N64" s="178">
        <f t="shared" ref="N64:N68" si="26">ROUND(SUM(J64:K64)*H64,2)</f>
        <v>1.07</v>
      </c>
      <c r="O64" s="178">
        <f t="shared" ref="O64:O68" si="27">SUM(M64:N64)</f>
        <v>1.07</v>
      </c>
    </row>
    <row r="65" spans="1:15" s="181" customFormat="1" ht="18" customHeight="1">
      <c r="A65" s="200" t="s">
        <v>114</v>
      </c>
      <c r="B65" s="202" t="s">
        <v>318</v>
      </c>
      <c r="C65" s="200" t="s">
        <v>27</v>
      </c>
      <c r="D65" s="200" t="s">
        <v>319</v>
      </c>
      <c r="E65" s="591" t="s">
        <v>111</v>
      </c>
      <c r="F65" s="591"/>
      <c r="G65" s="201" t="s">
        <v>141</v>
      </c>
      <c r="H65" s="203">
        <v>0.99639999999999995</v>
      </c>
      <c r="I65" s="178">
        <v>0</v>
      </c>
      <c r="J65" s="178">
        <v>0</v>
      </c>
      <c r="K65" s="178">
        <v>0.88</v>
      </c>
      <c r="L65" s="374">
        <f t="shared" si="24"/>
        <v>0.88</v>
      </c>
      <c r="M65" s="178">
        <f t="shared" si="25"/>
        <v>0</v>
      </c>
      <c r="N65" s="178">
        <f t="shared" si="26"/>
        <v>0.88</v>
      </c>
      <c r="O65" s="178">
        <f t="shared" si="27"/>
        <v>0.88</v>
      </c>
    </row>
    <row r="66" spans="1:15" s="181" customFormat="1" ht="24" customHeight="1">
      <c r="A66" s="200" t="s">
        <v>114</v>
      </c>
      <c r="B66" s="202" t="s">
        <v>320</v>
      </c>
      <c r="C66" s="200" t="s">
        <v>332</v>
      </c>
      <c r="D66" s="200" t="s">
        <v>321</v>
      </c>
      <c r="E66" s="591" t="s">
        <v>111</v>
      </c>
      <c r="F66" s="591"/>
      <c r="G66" s="201" t="s">
        <v>36</v>
      </c>
      <c r="H66" s="203">
        <v>1.0740000000000001</v>
      </c>
      <c r="I66" s="178">
        <v>0</v>
      </c>
      <c r="J66" s="178">
        <v>0</v>
      </c>
      <c r="K66" s="178">
        <v>43.03</v>
      </c>
      <c r="L66" s="374">
        <f t="shared" si="24"/>
        <v>43.03</v>
      </c>
      <c r="M66" s="178">
        <f t="shared" si="25"/>
        <v>0</v>
      </c>
      <c r="N66" s="178">
        <f t="shared" si="26"/>
        <v>46.21</v>
      </c>
      <c r="O66" s="178">
        <f t="shared" si="27"/>
        <v>46.21</v>
      </c>
    </row>
    <row r="67" spans="1:15" s="181" customFormat="1" ht="21" customHeight="1">
      <c r="A67" s="200" t="s">
        <v>114</v>
      </c>
      <c r="B67" s="202" t="s">
        <v>322</v>
      </c>
      <c r="C67" s="200" t="s">
        <v>27</v>
      </c>
      <c r="D67" s="200" t="s">
        <v>323</v>
      </c>
      <c r="E67" s="591" t="s">
        <v>111</v>
      </c>
      <c r="F67" s="591"/>
      <c r="G67" s="201" t="s">
        <v>141</v>
      </c>
      <c r="H67" s="203">
        <v>7.7999999999999996E-3</v>
      </c>
      <c r="I67" s="178">
        <v>0</v>
      </c>
      <c r="J67" s="178">
        <v>0</v>
      </c>
      <c r="K67" s="178">
        <v>24.45</v>
      </c>
      <c r="L67" s="374">
        <f t="shared" si="24"/>
        <v>24.45</v>
      </c>
      <c r="M67" s="178">
        <f t="shared" si="25"/>
        <v>0</v>
      </c>
      <c r="N67" s="178">
        <f t="shared" si="26"/>
        <v>0.19</v>
      </c>
      <c r="O67" s="178">
        <f t="shared" si="27"/>
        <v>0.19</v>
      </c>
    </row>
    <row r="68" spans="1:15" s="181" customFormat="1" ht="19.5" customHeight="1">
      <c r="A68" s="200" t="s">
        <v>114</v>
      </c>
      <c r="B68" s="202" t="s">
        <v>324</v>
      </c>
      <c r="C68" s="200" t="s">
        <v>27</v>
      </c>
      <c r="D68" s="200" t="s">
        <v>325</v>
      </c>
      <c r="E68" s="591" t="s">
        <v>111</v>
      </c>
      <c r="F68" s="591"/>
      <c r="G68" s="201" t="s">
        <v>326</v>
      </c>
      <c r="H68" s="203">
        <v>3.0800000000000001E-2</v>
      </c>
      <c r="I68" s="178">
        <v>0</v>
      </c>
      <c r="J68" s="178">
        <v>0</v>
      </c>
      <c r="K68" s="178">
        <v>43.3</v>
      </c>
      <c r="L68" s="374">
        <f t="shared" si="24"/>
        <v>43.3</v>
      </c>
      <c r="M68" s="178">
        <f t="shared" si="25"/>
        <v>0</v>
      </c>
      <c r="N68" s="178">
        <f t="shared" si="26"/>
        <v>1.33</v>
      </c>
      <c r="O68" s="178">
        <f t="shared" si="27"/>
        <v>1.33</v>
      </c>
    </row>
    <row r="69" spans="1:15" s="181" customFormat="1">
      <c r="A69" s="179"/>
      <c r="B69" s="179"/>
      <c r="C69" s="179"/>
      <c r="D69" s="179"/>
      <c r="E69" s="179"/>
      <c r="F69" s="180"/>
      <c r="G69" s="179"/>
      <c r="H69" s="180"/>
      <c r="I69" s="180"/>
      <c r="J69" s="180"/>
      <c r="K69" s="180"/>
      <c r="L69" s="179"/>
      <c r="M69" s="179"/>
      <c r="N69" s="179"/>
      <c r="O69" s="180"/>
    </row>
    <row r="70" spans="1:15" ht="15" thickBot="1">
      <c r="A70" s="83"/>
      <c r="B70" s="83"/>
      <c r="C70" s="83"/>
      <c r="D70" s="83"/>
      <c r="E70" s="83"/>
      <c r="F70" s="40"/>
      <c r="G70" s="83"/>
      <c r="H70" s="597"/>
      <c r="I70" s="597"/>
      <c r="J70" s="597"/>
      <c r="K70" s="597"/>
      <c r="L70" s="597"/>
      <c r="M70" s="83"/>
      <c r="N70" s="83"/>
      <c r="O70" s="40"/>
    </row>
    <row r="71" spans="1:15" ht="0.95" customHeight="1" thickTop="1">
      <c r="A71" s="39"/>
      <c r="B71" s="39"/>
      <c r="C71" s="39"/>
      <c r="D71" s="39"/>
      <c r="E71" s="39"/>
      <c r="F71" s="39"/>
      <c r="G71" s="39"/>
      <c r="H71" s="39"/>
      <c r="I71" s="39"/>
      <c r="J71" s="39"/>
      <c r="K71" s="39"/>
      <c r="L71" s="39"/>
      <c r="M71" s="39"/>
      <c r="N71" s="39"/>
      <c r="O71" s="39"/>
    </row>
    <row r="72" spans="1:15" ht="32.25" customHeight="1">
      <c r="A72" s="77" t="s">
        <v>66</v>
      </c>
      <c r="B72" s="73" t="s">
        <v>8</v>
      </c>
      <c r="C72" s="77" t="s">
        <v>9</v>
      </c>
      <c r="D72" s="77" t="s">
        <v>10</v>
      </c>
      <c r="E72" s="547" t="s">
        <v>128</v>
      </c>
      <c r="F72" s="547"/>
      <c r="G72" s="78" t="s">
        <v>11</v>
      </c>
      <c r="H72" s="73" t="s">
        <v>12</v>
      </c>
      <c r="I72" s="109" t="s">
        <v>214</v>
      </c>
      <c r="J72" s="109" t="s">
        <v>215</v>
      </c>
      <c r="K72" s="109" t="s">
        <v>216</v>
      </c>
      <c r="L72" s="73" t="s">
        <v>13</v>
      </c>
      <c r="M72" s="73" t="s">
        <v>210</v>
      </c>
      <c r="N72" s="112" t="s">
        <v>211</v>
      </c>
      <c r="O72" s="73" t="s">
        <v>15</v>
      </c>
    </row>
    <row r="73" spans="1:15" ht="24" customHeight="1">
      <c r="A73" s="81" t="s">
        <v>127</v>
      </c>
      <c r="B73" s="48" t="s">
        <v>218</v>
      </c>
      <c r="C73" s="81" t="s">
        <v>23</v>
      </c>
      <c r="D73" s="81" t="s">
        <v>67</v>
      </c>
      <c r="E73" s="594" t="s">
        <v>144</v>
      </c>
      <c r="F73" s="594"/>
      <c r="G73" s="47" t="s">
        <v>36</v>
      </c>
      <c r="H73" s="46">
        <v>1</v>
      </c>
      <c r="I73" s="45">
        <f t="shared" ref="I73:O73" si="28">I74</f>
        <v>22.4</v>
      </c>
      <c r="J73" s="45">
        <f t="shared" si="28"/>
        <v>1.83</v>
      </c>
      <c r="K73" s="45">
        <f t="shared" si="28"/>
        <v>1.77</v>
      </c>
      <c r="L73" s="45">
        <f t="shared" si="28"/>
        <v>25.999999999999996</v>
      </c>
      <c r="M73" s="45">
        <f t="shared" si="28"/>
        <v>5.6</v>
      </c>
      <c r="N73" s="45">
        <f t="shared" si="28"/>
        <v>0.9</v>
      </c>
      <c r="O73" s="45">
        <f t="shared" si="28"/>
        <v>6.5</v>
      </c>
    </row>
    <row r="74" spans="1:15" ht="24" customHeight="1">
      <c r="A74" s="82" t="s">
        <v>147</v>
      </c>
      <c r="B74" s="53" t="s">
        <v>165</v>
      </c>
      <c r="C74" s="82" t="s">
        <v>27</v>
      </c>
      <c r="D74" s="82" t="s">
        <v>164</v>
      </c>
      <c r="E74" s="590" t="s">
        <v>144</v>
      </c>
      <c r="F74" s="590"/>
      <c r="G74" s="52" t="s">
        <v>29</v>
      </c>
      <c r="H74" s="51">
        <v>0.25</v>
      </c>
      <c r="I74" s="50">
        <v>22.4</v>
      </c>
      <c r="J74" s="50">
        <v>1.83</v>
      </c>
      <c r="K74" s="50">
        <v>1.77</v>
      </c>
      <c r="L74" s="50">
        <f>SUM(I74:K74)</f>
        <v>25.999999999999996</v>
      </c>
      <c r="M74" s="50">
        <f>ROUND(I74*H74,2)</f>
        <v>5.6</v>
      </c>
      <c r="N74" s="50">
        <f>ROUND(SUM(J74:K74)*H74,2)</f>
        <v>0.9</v>
      </c>
      <c r="O74" s="50">
        <f>SUM(M74:N74)</f>
        <v>6.5</v>
      </c>
    </row>
    <row r="75" spans="1:15">
      <c r="A75" s="83"/>
      <c r="B75" s="83"/>
      <c r="C75" s="83"/>
      <c r="D75" s="83"/>
      <c r="E75" s="83"/>
      <c r="F75" s="40"/>
      <c r="G75" s="83"/>
      <c r="H75" s="40"/>
      <c r="I75" s="40"/>
      <c r="J75" s="40"/>
      <c r="K75" s="40"/>
      <c r="L75" s="83"/>
      <c r="M75" s="83"/>
      <c r="N75" s="83"/>
      <c r="O75" s="40"/>
    </row>
    <row r="76" spans="1:15" ht="15" thickBot="1">
      <c r="A76" s="83"/>
      <c r="B76" s="83"/>
      <c r="C76" s="83"/>
      <c r="D76" s="83"/>
      <c r="E76" s="83"/>
      <c r="F76" s="40"/>
      <c r="G76" s="83"/>
      <c r="H76" s="597"/>
      <c r="I76" s="597"/>
      <c r="J76" s="597"/>
      <c r="K76" s="597"/>
      <c r="L76" s="597"/>
      <c r="M76" s="83"/>
      <c r="N76" s="83"/>
      <c r="O76" s="40"/>
    </row>
    <row r="77" spans="1:15" ht="0.95" customHeight="1" thickTop="1">
      <c r="A77" s="39"/>
      <c r="B77" s="39"/>
      <c r="C77" s="39"/>
      <c r="D77" s="39"/>
      <c r="E77" s="39"/>
      <c r="F77" s="39"/>
      <c r="G77" s="39"/>
      <c r="H77" s="39"/>
      <c r="I77" s="39"/>
      <c r="J77" s="39"/>
      <c r="K77" s="39"/>
      <c r="L77" s="39"/>
      <c r="M77" s="39"/>
      <c r="N77" s="39"/>
      <c r="O77" s="39"/>
    </row>
    <row r="78" spans="1:15" ht="34.5" customHeight="1">
      <c r="A78" s="77" t="s">
        <v>72</v>
      </c>
      <c r="B78" s="73" t="s">
        <v>8</v>
      </c>
      <c r="C78" s="77" t="s">
        <v>9</v>
      </c>
      <c r="D78" s="77" t="s">
        <v>10</v>
      </c>
      <c r="E78" s="547" t="s">
        <v>128</v>
      </c>
      <c r="F78" s="547"/>
      <c r="G78" s="78" t="s">
        <v>11</v>
      </c>
      <c r="H78" s="73" t="s">
        <v>12</v>
      </c>
      <c r="I78" s="109" t="s">
        <v>214</v>
      </c>
      <c r="J78" s="109" t="s">
        <v>215</v>
      </c>
      <c r="K78" s="109" t="s">
        <v>216</v>
      </c>
      <c r="L78" s="73" t="s">
        <v>13</v>
      </c>
      <c r="M78" s="73" t="s">
        <v>210</v>
      </c>
      <c r="N78" s="112" t="s">
        <v>211</v>
      </c>
      <c r="O78" s="73" t="s">
        <v>15</v>
      </c>
    </row>
    <row r="79" spans="1:15" ht="24" customHeight="1">
      <c r="A79" s="81" t="s">
        <v>127</v>
      </c>
      <c r="B79" s="48" t="s">
        <v>220</v>
      </c>
      <c r="C79" s="81" t="s">
        <v>23</v>
      </c>
      <c r="D79" s="81" t="s">
        <v>73</v>
      </c>
      <c r="E79" s="594" t="s">
        <v>161</v>
      </c>
      <c r="F79" s="594"/>
      <c r="G79" s="47" t="s">
        <v>36</v>
      </c>
      <c r="H79" s="46">
        <v>1</v>
      </c>
      <c r="I79" s="45">
        <f>SUM(I80:I82)</f>
        <v>44.86</v>
      </c>
      <c r="J79" s="45">
        <f>SUM(J80:J82)</f>
        <v>3.8000000000000003</v>
      </c>
      <c r="K79" s="45">
        <f>SUM(K80:K82)</f>
        <v>379.1</v>
      </c>
      <c r="L79" s="45">
        <f>SUM(L80:L82)</f>
        <v>427.76000000000005</v>
      </c>
      <c r="M79" s="45">
        <f>SUM(M80:M82)</f>
        <v>14.940000000000001</v>
      </c>
      <c r="N79" s="45">
        <f t="shared" ref="N79:O79" si="29">SUM(N80:N82)</f>
        <v>176.82</v>
      </c>
      <c r="O79" s="45">
        <f t="shared" si="29"/>
        <v>191.76</v>
      </c>
    </row>
    <row r="80" spans="1:15" ht="39" customHeight="1">
      <c r="A80" s="82" t="s">
        <v>147</v>
      </c>
      <c r="B80" s="53" t="s">
        <v>163</v>
      </c>
      <c r="C80" s="82" t="s">
        <v>27</v>
      </c>
      <c r="D80" s="82" t="s">
        <v>162</v>
      </c>
      <c r="E80" s="590" t="s">
        <v>161</v>
      </c>
      <c r="F80" s="590"/>
      <c r="G80" s="52" t="s">
        <v>36</v>
      </c>
      <c r="H80" s="51">
        <v>0.33300000000000002</v>
      </c>
      <c r="I80" s="50">
        <v>25.67</v>
      </c>
      <c r="J80" s="50">
        <v>2.97</v>
      </c>
      <c r="K80" s="50">
        <v>229.27</v>
      </c>
      <c r="L80" s="50">
        <f>SUM(I80:K80)</f>
        <v>257.91000000000003</v>
      </c>
      <c r="M80" s="50">
        <f>ROUND(I80*H80,2)</f>
        <v>8.5500000000000007</v>
      </c>
      <c r="N80" s="50">
        <f>ROUND(SUM(J80:K80)*H80,2)</f>
        <v>77.34</v>
      </c>
      <c r="O80" s="50">
        <f>SUM(M80:N80)</f>
        <v>85.89</v>
      </c>
    </row>
    <row r="81" spans="1:15" ht="26.1" customHeight="1">
      <c r="A81" s="82" t="s">
        <v>147</v>
      </c>
      <c r="B81" s="53" t="s">
        <v>160</v>
      </c>
      <c r="C81" s="82" t="s">
        <v>27</v>
      </c>
      <c r="D81" s="82" t="s">
        <v>159</v>
      </c>
      <c r="E81" s="590" t="s">
        <v>144</v>
      </c>
      <c r="F81" s="590"/>
      <c r="G81" s="52" t="s">
        <v>29</v>
      </c>
      <c r="H81" s="51">
        <v>0.33300000000000002</v>
      </c>
      <c r="I81" s="50">
        <v>19.190000000000001</v>
      </c>
      <c r="J81" s="50">
        <v>0.83</v>
      </c>
      <c r="K81" s="50">
        <v>1.77</v>
      </c>
      <c r="L81" s="50">
        <f t="shared" ref="L81:L82" si="30">SUM(I81:K81)</f>
        <v>21.79</v>
      </c>
      <c r="M81" s="50">
        <f t="shared" ref="M81:M82" si="31">ROUND(I81*H81,2)</f>
        <v>6.39</v>
      </c>
      <c r="N81" s="50">
        <f t="shared" ref="N81:N82" si="32">ROUND(SUM(J81:K81)*H81,2)</f>
        <v>0.87</v>
      </c>
      <c r="O81" s="50">
        <f>SUM(M81:N81)</f>
        <v>7.26</v>
      </c>
    </row>
    <row r="82" spans="1:15" ht="26.1" customHeight="1">
      <c r="A82" s="80" t="s">
        <v>114</v>
      </c>
      <c r="B82" s="44"/>
      <c r="C82" s="80" t="s">
        <v>219</v>
      </c>
      <c r="D82" s="80" t="s">
        <v>69</v>
      </c>
      <c r="E82" s="591" t="s">
        <v>111</v>
      </c>
      <c r="F82" s="591"/>
      <c r="G82" s="43" t="s">
        <v>36</v>
      </c>
      <c r="H82" s="42">
        <v>0.66600000000000004</v>
      </c>
      <c r="I82" s="41">
        <v>0</v>
      </c>
      <c r="J82" s="41">
        <v>0</v>
      </c>
      <c r="K82" s="41">
        <v>148.06</v>
      </c>
      <c r="L82" s="41">
        <f t="shared" si="30"/>
        <v>148.06</v>
      </c>
      <c r="M82" s="41">
        <f t="shared" si="31"/>
        <v>0</v>
      </c>
      <c r="N82" s="41">
        <f t="shared" si="32"/>
        <v>98.61</v>
      </c>
      <c r="O82" s="41">
        <f>SUM(M82:N82)</f>
        <v>98.61</v>
      </c>
    </row>
    <row r="83" spans="1:15">
      <c r="A83" s="83"/>
      <c r="B83" s="83"/>
      <c r="C83" s="83"/>
      <c r="D83" s="83"/>
      <c r="E83" s="83"/>
      <c r="F83" s="40"/>
      <c r="G83" s="83"/>
      <c r="H83" s="40"/>
      <c r="I83" s="40"/>
      <c r="J83" s="40"/>
      <c r="K83" s="40"/>
      <c r="L83" s="83"/>
      <c r="M83" s="83"/>
      <c r="N83" s="83"/>
      <c r="O83" s="40"/>
    </row>
    <row r="84" spans="1:15" s="480" customFormat="1" ht="45">
      <c r="A84" s="478" t="s">
        <v>331</v>
      </c>
      <c r="B84" s="479" t="s">
        <v>8</v>
      </c>
      <c r="C84" s="478" t="s">
        <v>9</v>
      </c>
      <c r="D84" s="478" t="s">
        <v>10</v>
      </c>
      <c r="E84" s="547" t="s">
        <v>128</v>
      </c>
      <c r="F84" s="547"/>
      <c r="G84" s="477" t="s">
        <v>11</v>
      </c>
      <c r="H84" s="479" t="s">
        <v>12</v>
      </c>
      <c r="I84" s="479" t="s">
        <v>214</v>
      </c>
      <c r="J84" s="479" t="s">
        <v>215</v>
      </c>
      <c r="K84" s="479" t="s">
        <v>216</v>
      </c>
      <c r="L84" s="479" t="s">
        <v>13</v>
      </c>
      <c r="M84" s="479" t="s">
        <v>210</v>
      </c>
      <c r="N84" s="112" t="s">
        <v>211</v>
      </c>
      <c r="O84" s="479" t="s">
        <v>15</v>
      </c>
    </row>
    <row r="85" spans="1:15" s="480" customFormat="1" ht="26.25" customHeight="1">
      <c r="A85" s="483" t="s">
        <v>127</v>
      </c>
      <c r="B85" s="472" t="s">
        <v>629</v>
      </c>
      <c r="C85" s="483" t="s">
        <v>23</v>
      </c>
      <c r="D85" s="483" t="s">
        <v>655</v>
      </c>
      <c r="E85" s="594" t="s">
        <v>161</v>
      </c>
      <c r="F85" s="594"/>
      <c r="G85" s="471" t="s">
        <v>25</v>
      </c>
      <c r="H85" s="438">
        <v>1</v>
      </c>
      <c r="I85" s="473">
        <f t="shared" ref="I85:O85" si="33">SUM(I86:I87)</f>
        <v>21.16</v>
      </c>
      <c r="J85" s="473">
        <f t="shared" si="33"/>
        <v>1.83</v>
      </c>
      <c r="K85" s="473">
        <f t="shared" si="33"/>
        <v>141.67000000000002</v>
      </c>
      <c r="L85" s="473">
        <f t="shared" si="33"/>
        <v>164.66</v>
      </c>
      <c r="M85" s="473">
        <f t="shared" si="33"/>
        <v>17.350000000000001</v>
      </c>
      <c r="N85" s="473">
        <f t="shared" si="33"/>
        <v>142.85</v>
      </c>
      <c r="O85" s="473">
        <f t="shared" si="33"/>
        <v>160.20000000000002</v>
      </c>
    </row>
    <row r="86" spans="1:15" s="480" customFormat="1" ht="25.5">
      <c r="A86" s="481" t="s">
        <v>147</v>
      </c>
      <c r="B86" s="441">
        <v>88261</v>
      </c>
      <c r="C86" s="481" t="s">
        <v>27</v>
      </c>
      <c r="D86" s="481" t="s">
        <v>656</v>
      </c>
      <c r="E86" s="590" t="s">
        <v>144</v>
      </c>
      <c r="F86" s="590"/>
      <c r="G86" s="440" t="s">
        <v>29</v>
      </c>
      <c r="H86" s="442">
        <v>0.82</v>
      </c>
      <c r="I86" s="370">
        <v>21.16</v>
      </c>
      <c r="J86" s="370">
        <v>1.83</v>
      </c>
      <c r="K86" s="370">
        <v>1.77</v>
      </c>
      <c r="L86" s="370">
        <f t="shared" ref="L86:L87" si="34">SUM(I86:K86)</f>
        <v>24.76</v>
      </c>
      <c r="M86" s="370">
        <f t="shared" ref="M86:M87" si="35">ROUND(I86*H86,2)</f>
        <v>17.350000000000001</v>
      </c>
      <c r="N86" s="370">
        <f t="shared" ref="N86:N87" si="36">ROUND(SUM(J86:K86)*H86,2)</f>
        <v>2.95</v>
      </c>
      <c r="O86" s="370">
        <f>SUM(M86:N86)</f>
        <v>20.3</v>
      </c>
    </row>
    <row r="87" spans="1:15" s="480" customFormat="1">
      <c r="A87" s="482" t="s">
        <v>114</v>
      </c>
      <c r="B87" s="445"/>
      <c r="C87" s="482" t="s">
        <v>332</v>
      </c>
      <c r="D87" s="482" t="s">
        <v>333</v>
      </c>
      <c r="E87" s="591" t="s">
        <v>111</v>
      </c>
      <c r="F87" s="591"/>
      <c r="G87" s="444" t="s">
        <v>36</v>
      </c>
      <c r="H87" s="446">
        <v>1</v>
      </c>
      <c r="I87" s="374">
        <v>0</v>
      </c>
      <c r="J87" s="374">
        <v>0</v>
      </c>
      <c r="K87" s="374">
        <v>139.9</v>
      </c>
      <c r="L87" s="374">
        <f t="shared" si="34"/>
        <v>139.9</v>
      </c>
      <c r="M87" s="374">
        <f t="shared" si="35"/>
        <v>0</v>
      </c>
      <c r="N87" s="374">
        <f t="shared" si="36"/>
        <v>139.9</v>
      </c>
      <c r="O87" s="374">
        <f>SUM(M87:N87)</f>
        <v>139.9</v>
      </c>
    </row>
    <row r="88" spans="1:15" s="480" customFormat="1">
      <c r="A88" s="484"/>
      <c r="B88" s="484"/>
      <c r="C88" s="484"/>
      <c r="D88" s="484"/>
      <c r="E88" s="484"/>
      <c r="F88" s="180"/>
      <c r="G88" s="484"/>
      <c r="H88" s="180"/>
      <c r="I88" s="180"/>
      <c r="J88" s="180"/>
      <c r="K88" s="180"/>
      <c r="L88" s="484"/>
      <c r="M88" s="484"/>
      <c r="N88" s="484"/>
      <c r="O88" s="180" t="s">
        <v>657</v>
      </c>
    </row>
    <row r="89" spans="1:15" ht="15" customHeight="1" thickBot="1">
      <c r="A89" s="484"/>
      <c r="B89" s="484"/>
      <c r="C89" s="484"/>
      <c r="D89" s="484"/>
      <c r="E89" s="484"/>
      <c r="F89" s="180"/>
      <c r="G89" s="484"/>
      <c r="H89" s="596"/>
      <c r="I89" s="596"/>
      <c r="J89" s="596"/>
      <c r="K89" s="596"/>
      <c r="L89" s="596"/>
      <c r="M89" s="484"/>
      <c r="N89" s="484"/>
      <c r="O89" s="180"/>
    </row>
    <row r="90" spans="1:15" ht="0.95" customHeight="1" thickTop="1">
      <c r="A90" s="39"/>
      <c r="B90" s="39"/>
      <c r="C90" s="39"/>
      <c r="D90" s="39"/>
      <c r="E90" s="39"/>
      <c r="F90" s="39"/>
      <c r="G90" s="39"/>
      <c r="H90" s="39"/>
      <c r="I90" s="39"/>
      <c r="J90" s="39"/>
      <c r="K90" s="39"/>
      <c r="L90" s="39"/>
      <c r="M90" s="39"/>
      <c r="N90" s="39"/>
      <c r="O90" s="39"/>
    </row>
    <row r="91" spans="1:15" ht="34.5" customHeight="1">
      <c r="A91" s="77" t="s">
        <v>77</v>
      </c>
      <c r="B91" s="73" t="s">
        <v>8</v>
      </c>
      <c r="C91" s="77" t="s">
        <v>9</v>
      </c>
      <c r="D91" s="77" t="s">
        <v>10</v>
      </c>
      <c r="E91" s="547" t="s">
        <v>128</v>
      </c>
      <c r="F91" s="547"/>
      <c r="G91" s="78" t="s">
        <v>11</v>
      </c>
      <c r="H91" s="73" t="s">
        <v>12</v>
      </c>
      <c r="I91" s="109" t="s">
        <v>214</v>
      </c>
      <c r="J91" s="109" t="s">
        <v>215</v>
      </c>
      <c r="K91" s="109" t="s">
        <v>216</v>
      </c>
      <c r="L91" s="73" t="s">
        <v>13</v>
      </c>
      <c r="M91" s="73" t="s">
        <v>210</v>
      </c>
      <c r="N91" s="112" t="s">
        <v>211</v>
      </c>
      <c r="O91" s="73" t="s">
        <v>15</v>
      </c>
    </row>
    <row r="92" spans="1:15" ht="26.1" customHeight="1">
      <c r="A92" s="81" t="s">
        <v>127</v>
      </c>
      <c r="B92" s="48" t="s">
        <v>221</v>
      </c>
      <c r="C92" s="81" t="s">
        <v>23</v>
      </c>
      <c r="D92" s="325" t="s">
        <v>433</v>
      </c>
      <c r="E92" s="594" t="s">
        <v>150</v>
      </c>
      <c r="F92" s="594"/>
      <c r="G92" s="47" t="s">
        <v>25</v>
      </c>
      <c r="H92" s="46">
        <v>1</v>
      </c>
      <c r="I92" s="45">
        <f t="shared" ref="I92:O92" si="37">SUM(I93:I95)</f>
        <v>72.650000000000006</v>
      </c>
      <c r="J92" s="45">
        <f t="shared" si="37"/>
        <v>5.84</v>
      </c>
      <c r="K92" s="45">
        <f t="shared" si="37"/>
        <v>5.3100000000000005</v>
      </c>
      <c r="L92" s="45">
        <f t="shared" si="37"/>
        <v>83.8</v>
      </c>
      <c r="M92" s="45">
        <f t="shared" si="37"/>
        <v>571.1099999999999</v>
      </c>
      <c r="N92" s="45">
        <f t="shared" si="37"/>
        <v>87.649999999999991</v>
      </c>
      <c r="O92" s="45">
        <f t="shared" si="37"/>
        <v>658.76</v>
      </c>
    </row>
    <row r="93" spans="1:15" ht="26.1" customHeight="1">
      <c r="A93" s="82" t="s">
        <v>147</v>
      </c>
      <c r="B93" s="53" t="s">
        <v>158</v>
      </c>
      <c r="C93" s="82" t="s">
        <v>27</v>
      </c>
      <c r="D93" s="82" t="s">
        <v>157</v>
      </c>
      <c r="E93" s="590" t="s">
        <v>144</v>
      </c>
      <c r="F93" s="590"/>
      <c r="G93" s="52" t="s">
        <v>29</v>
      </c>
      <c r="H93" s="51">
        <v>7.8619000000000003</v>
      </c>
      <c r="I93" s="50">
        <v>28.45</v>
      </c>
      <c r="J93" s="50">
        <v>2</v>
      </c>
      <c r="K93" s="50">
        <v>1.77</v>
      </c>
      <c r="L93" s="50">
        <f>SUM(I93:K93)</f>
        <v>32.22</v>
      </c>
      <c r="M93" s="50">
        <f>ROUND(I93*H93,2)</f>
        <v>223.67</v>
      </c>
      <c r="N93" s="50">
        <f>ROUND(SUM(J93:K93)*H93,2)</f>
        <v>29.64</v>
      </c>
      <c r="O93" s="50">
        <f>SUM(M93:N93)</f>
        <v>253.31</v>
      </c>
    </row>
    <row r="94" spans="1:15" ht="24" customHeight="1">
      <c r="A94" s="82" t="s">
        <v>147</v>
      </c>
      <c r="B94" s="53" t="s">
        <v>156</v>
      </c>
      <c r="C94" s="82" t="s">
        <v>27</v>
      </c>
      <c r="D94" s="82" t="s">
        <v>155</v>
      </c>
      <c r="E94" s="590" t="s">
        <v>144</v>
      </c>
      <c r="F94" s="590"/>
      <c r="G94" s="52" t="s">
        <v>29</v>
      </c>
      <c r="H94" s="51">
        <v>7.8619000000000003</v>
      </c>
      <c r="I94" s="50">
        <v>15.39</v>
      </c>
      <c r="J94" s="50">
        <v>1.84</v>
      </c>
      <c r="K94" s="50">
        <v>1.77</v>
      </c>
      <c r="L94" s="370">
        <f>SUM(I94:K94)</f>
        <v>19</v>
      </c>
      <c r="M94" s="50">
        <f>ROUND(I94*H94,2)</f>
        <v>120.99</v>
      </c>
      <c r="N94" s="50">
        <f>ROUND(SUM(J94:K94)*H94,2)</f>
        <v>28.38</v>
      </c>
      <c r="O94" s="50">
        <f>SUM(M94:N94)</f>
        <v>149.37</v>
      </c>
    </row>
    <row r="95" spans="1:15" ht="25.5">
      <c r="A95" s="326" t="s">
        <v>147</v>
      </c>
      <c r="B95" s="323" t="s">
        <v>149</v>
      </c>
      <c r="C95" s="326" t="s">
        <v>27</v>
      </c>
      <c r="D95" s="326" t="s">
        <v>148</v>
      </c>
      <c r="E95" s="590" t="s">
        <v>144</v>
      </c>
      <c r="F95" s="590"/>
      <c r="G95" s="322" t="s">
        <v>29</v>
      </c>
      <c r="H95" s="324">
        <v>7.86</v>
      </c>
      <c r="I95" s="274">
        <v>28.81</v>
      </c>
      <c r="J95" s="274">
        <v>2</v>
      </c>
      <c r="K95" s="274">
        <v>1.77</v>
      </c>
      <c r="L95" s="370">
        <f>SUM(I95:K95)</f>
        <v>32.58</v>
      </c>
      <c r="M95" s="274">
        <f>ROUND(I95*H95,2)</f>
        <v>226.45</v>
      </c>
      <c r="N95" s="274">
        <f>ROUND(SUM(J95:K95)*H95,2)</f>
        <v>29.63</v>
      </c>
      <c r="O95" s="274">
        <f>SUM(M95:N95)</f>
        <v>256.08</v>
      </c>
    </row>
    <row r="96" spans="1:15" s="260" customFormat="1">
      <c r="A96" s="262"/>
      <c r="B96" s="262"/>
      <c r="C96" s="262"/>
      <c r="D96" s="262"/>
      <c r="E96" s="262"/>
      <c r="F96" s="180"/>
      <c r="G96" s="262"/>
      <c r="H96" s="180"/>
      <c r="I96" s="180"/>
      <c r="J96" s="180"/>
      <c r="K96" s="180"/>
      <c r="L96" s="262"/>
      <c r="M96" s="262"/>
      <c r="N96" s="262"/>
      <c r="O96" s="180"/>
    </row>
    <row r="97" spans="1:15" s="260" customFormat="1" ht="45">
      <c r="A97" s="258" t="s">
        <v>415</v>
      </c>
      <c r="B97" s="259" t="s">
        <v>8</v>
      </c>
      <c r="C97" s="258" t="s">
        <v>9</v>
      </c>
      <c r="D97" s="258" t="s">
        <v>10</v>
      </c>
      <c r="E97" s="547" t="s">
        <v>128</v>
      </c>
      <c r="F97" s="547"/>
      <c r="G97" s="257" t="s">
        <v>11</v>
      </c>
      <c r="H97" s="259" t="s">
        <v>12</v>
      </c>
      <c r="I97" s="259" t="s">
        <v>214</v>
      </c>
      <c r="J97" s="259" t="s">
        <v>215</v>
      </c>
      <c r="K97" s="259" t="s">
        <v>216</v>
      </c>
      <c r="L97" s="259" t="s">
        <v>13</v>
      </c>
      <c r="M97" s="259" t="s">
        <v>210</v>
      </c>
      <c r="N97" s="112" t="s">
        <v>211</v>
      </c>
      <c r="O97" s="259" t="s">
        <v>15</v>
      </c>
    </row>
    <row r="98" spans="1:15" s="260" customFormat="1" ht="14.25" customHeight="1">
      <c r="A98" s="267" t="s">
        <v>127</v>
      </c>
      <c r="B98" s="269" t="s">
        <v>401</v>
      </c>
      <c r="C98" s="267" t="s">
        <v>23</v>
      </c>
      <c r="D98" s="267" t="s">
        <v>402</v>
      </c>
      <c r="E98" s="594" t="s">
        <v>150</v>
      </c>
      <c r="F98" s="594"/>
      <c r="G98" s="268" t="s">
        <v>25</v>
      </c>
      <c r="H98" s="270">
        <v>1</v>
      </c>
      <c r="I98" s="212">
        <f t="shared" ref="I98:O98" si="38">SUM(I99:I106)</f>
        <v>39.08</v>
      </c>
      <c r="J98" s="212">
        <f t="shared" si="38"/>
        <v>3.8499999999999996</v>
      </c>
      <c r="K98" s="212">
        <f t="shared" si="38"/>
        <v>23.189999999999994</v>
      </c>
      <c r="L98" s="212">
        <f>SUM(L99:L106)</f>
        <v>66.11999999999999</v>
      </c>
      <c r="M98" s="212">
        <f t="shared" si="38"/>
        <v>117.24</v>
      </c>
      <c r="N98" s="212">
        <f t="shared" si="38"/>
        <v>73.929999999999993</v>
      </c>
      <c r="O98" s="212">
        <f t="shared" si="38"/>
        <v>191.17000000000004</v>
      </c>
    </row>
    <row r="99" spans="1:15" s="260" customFormat="1" ht="25.5">
      <c r="A99" s="271" t="s">
        <v>147</v>
      </c>
      <c r="B99" s="273" t="s">
        <v>167</v>
      </c>
      <c r="C99" s="271" t="s">
        <v>27</v>
      </c>
      <c r="D99" s="271" t="s">
        <v>166</v>
      </c>
      <c r="E99" s="590" t="s">
        <v>144</v>
      </c>
      <c r="F99" s="590"/>
      <c r="G99" s="272" t="s">
        <v>29</v>
      </c>
      <c r="H99" s="275">
        <v>3</v>
      </c>
      <c r="I99" s="274">
        <v>23.69</v>
      </c>
      <c r="J99" s="274">
        <v>2.0099999999999998</v>
      </c>
      <c r="K99" s="274">
        <v>1.77</v>
      </c>
      <c r="L99" s="177">
        <f>SUM(I99:K99)</f>
        <v>27.470000000000002</v>
      </c>
      <c r="M99" s="177">
        <f>ROUND(I99*H99,2)</f>
        <v>71.069999999999993</v>
      </c>
      <c r="N99" s="177">
        <f>ROUND(SUM(J99:K99)*H99,2)</f>
        <v>11.34</v>
      </c>
      <c r="O99" s="177">
        <f>SUM(M99:N99)</f>
        <v>82.41</v>
      </c>
    </row>
    <row r="100" spans="1:15" s="260" customFormat="1" ht="25.5">
      <c r="A100" s="271" t="s">
        <v>147</v>
      </c>
      <c r="B100" s="273" t="s">
        <v>156</v>
      </c>
      <c r="C100" s="271" t="s">
        <v>27</v>
      </c>
      <c r="D100" s="271" t="s">
        <v>155</v>
      </c>
      <c r="E100" s="590" t="s">
        <v>144</v>
      </c>
      <c r="F100" s="590"/>
      <c r="G100" s="272" t="s">
        <v>29</v>
      </c>
      <c r="H100" s="275">
        <v>3</v>
      </c>
      <c r="I100" s="274">
        <v>15.39</v>
      </c>
      <c r="J100" s="274">
        <v>1.84</v>
      </c>
      <c r="K100" s="274">
        <v>1.77</v>
      </c>
      <c r="L100" s="370">
        <f t="shared" ref="L100:L106" si="39">SUM(I100:K100)</f>
        <v>19</v>
      </c>
      <c r="M100" s="177">
        <f>ROUND(I100*H100,2)</f>
        <v>46.17</v>
      </c>
      <c r="N100" s="177">
        <f>ROUND(SUM(J100:K100)*H100,2)</f>
        <v>10.83</v>
      </c>
      <c r="O100" s="177">
        <f>SUM(M100:N100)</f>
        <v>57</v>
      </c>
    </row>
    <row r="101" spans="1:15" s="260" customFormat="1">
      <c r="A101" s="276" t="s">
        <v>114</v>
      </c>
      <c r="B101" s="278" t="s">
        <v>403</v>
      </c>
      <c r="C101" s="276" t="s">
        <v>27</v>
      </c>
      <c r="D101" s="276" t="s">
        <v>404</v>
      </c>
      <c r="E101" s="591" t="s">
        <v>111</v>
      </c>
      <c r="F101" s="591"/>
      <c r="G101" s="277" t="s">
        <v>40</v>
      </c>
      <c r="H101" s="280">
        <v>7</v>
      </c>
      <c r="I101" s="279">
        <v>0</v>
      </c>
      <c r="J101" s="279">
        <v>0</v>
      </c>
      <c r="K101" s="279">
        <v>4.78</v>
      </c>
      <c r="L101" s="374">
        <f t="shared" si="39"/>
        <v>4.78</v>
      </c>
      <c r="M101" s="178">
        <f>ROUND(I101*H101,2)</f>
        <v>0</v>
      </c>
      <c r="N101" s="178">
        <f>ROUND(SUM(J101:K101)*H101,2)</f>
        <v>33.46</v>
      </c>
      <c r="O101" s="178">
        <f>SUM(M101:N101)</f>
        <v>33.46</v>
      </c>
    </row>
    <row r="102" spans="1:15" s="260" customFormat="1" ht="25.5">
      <c r="A102" s="276" t="s">
        <v>114</v>
      </c>
      <c r="B102" s="278" t="s">
        <v>405</v>
      </c>
      <c r="C102" s="276" t="s">
        <v>27</v>
      </c>
      <c r="D102" s="276" t="s">
        <v>406</v>
      </c>
      <c r="E102" s="591" t="s">
        <v>111</v>
      </c>
      <c r="F102" s="591"/>
      <c r="G102" s="277" t="s">
        <v>25</v>
      </c>
      <c r="H102" s="280">
        <v>2</v>
      </c>
      <c r="I102" s="279">
        <v>0</v>
      </c>
      <c r="J102" s="279">
        <v>0</v>
      </c>
      <c r="K102" s="279">
        <v>3.43</v>
      </c>
      <c r="L102" s="374">
        <f t="shared" si="39"/>
        <v>3.43</v>
      </c>
      <c r="M102" s="178">
        <f t="shared" ref="M102:M106" si="40">ROUND(I102*H102,2)</f>
        <v>0</v>
      </c>
      <c r="N102" s="178">
        <f>ROUND(SUM(J102:K102)*H102,2)</f>
        <v>6.86</v>
      </c>
      <c r="O102" s="178">
        <f t="shared" ref="O102:O106" si="41">SUM(M102:N102)</f>
        <v>6.86</v>
      </c>
    </row>
    <row r="103" spans="1:15" s="260" customFormat="1">
      <c r="A103" s="276" t="s">
        <v>114</v>
      </c>
      <c r="B103" s="278" t="s">
        <v>407</v>
      </c>
      <c r="C103" s="276" t="s">
        <v>27</v>
      </c>
      <c r="D103" s="276" t="s">
        <v>408</v>
      </c>
      <c r="E103" s="591" t="s">
        <v>111</v>
      </c>
      <c r="F103" s="591"/>
      <c r="G103" s="277" t="s">
        <v>25</v>
      </c>
      <c r="H103" s="280">
        <v>1</v>
      </c>
      <c r="I103" s="279">
        <v>0</v>
      </c>
      <c r="J103" s="279">
        <v>0</v>
      </c>
      <c r="K103" s="279">
        <v>2.79</v>
      </c>
      <c r="L103" s="374">
        <f t="shared" si="39"/>
        <v>2.79</v>
      </c>
      <c r="M103" s="178">
        <f t="shared" si="40"/>
        <v>0</v>
      </c>
      <c r="N103" s="178">
        <f t="shared" ref="N103:N106" si="42">ROUND(SUM(J103:K103)*H103,2)</f>
        <v>2.79</v>
      </c>
      <c r="O103" s="178">
        <f t="shared" si="41"/>
        <v>2.79</v>
      </c>
    </row>
    <row r="104" spans="1:15" s="260" customFormat="1" ht="38.25">
      <c r="A104" s="276" t="s">
        <v>114</v>
      </c>
      <c r="B104" s="278" t="s">
        <v>409</v>
      </c>
      <c r="C104" s="276" t="s">
        <v>630</v>
      </c>
      <c r="D104" s="276" t="s">
        <v>410</v>
      </c>
      <c r="E104" s="591" t="s">
        <v>111</v>
      </c>
      <c r="F104" s="591"/>
      <c r="G104" s="277" t="s">
        <v>25</v>
      </c>
      <c r="H104" s="280">
        <v>1</v>
      </c>
      <c r="I104" s="279">
        <v>0</v>
      </c>
      <c r="J104" s="279">
        <v>0</v>
      </c>
      <c r="K104" s="279">
        <v>2.08</v>
      </c>
      <c r="L104" s="374">
        <f t="shared" si="39"/>
        <v>2.08</v>
      </c>
      <c r="M104" s="178">
        <f t="shared" si="40"/>
        <v>0</v>
      </c>
      <c r="N104" s="178">
        <f t="shared" si="42"/>
        <v>2.08</v>
      </c>
      <c r="O104" s="178">
        <f t="shared" si="41"/>
        <v>2.08</v>
      </c>
    </row>
    <row r="105" spans="1:15" s="260" customFormat="1">
      <c r="A105" s="276" t="s">
        <v>114</v>
      </c>
      <c r="B105" s="278" t="s">
        <v>411</v>
      </c>
      <c r="C105" s="276" t="s">
        <v>27</v>
      </c>
      <c r="D105" s="276" t="s">
        <v>412</v>
      </c>
      <c r="E105" s="591" t="s">
        <v>111</v>
      </c>
      <c r="F105" s="591"/>
      <c r="G105" s="277" t="s">
        <v>25</v>
      </c>
      <c r="H105" s="280">
        <v>1</v>
      </c>
      <c r="I105" s="279">
        <v>0</v>
      </c>
      <c r="J105" s="279">
        <v>0</v>
      </c>
      <c r="K105" s="279">
        <v>5.33</v>
      </c>
      <c r="L105" s="374">
        <f t="shared" si="39"/>
        <v>5.33</v>
      </c>
      <c r="M105" s="178">
        <f t="shared" si="40"/>
        <v>0</v>
      </c>
      <c r="N105" s="178">
        <f t="shared" si="42"/>
        <v>5.33</v>
      </c>
      <c r="O105" s="178">
        <f t="shared" si="41"/>
        <v>5.33</v>
      </c>
    </row>
    <row r="106" spans="1:15" s="260" customFormat="1" ht="25.5">
      <c r="A106" s="276" t="s">
        <v>114</v>
      </c>
      <c r="B106" s="278" t="s">
        <v>413</v>
      </c>
      <c r="C106" s="276" t="s">
        <v>27</v>
      </c>
      <c r="D106" s="276" t="s">
        <v>414</v>
      </c>
      <c r="E106" s="591" t="s">
        <v>111</v>
      </c>
      <c r="F106" s="591"/>
      <c r="G106" s="277" t="s">
        <v>25</v>
      </c>
      <c r="H106" s="280">
        <v>1</v>
      </c>
      <c r="I106" s="279">
        <v>0</v>
      </c>
      <c r="J106" s="279">
        <v>0</v>
      </c>
      <c r="K106" s="279">
        <v>1.24</v>
      </c>
      <c r="L106" s="374">
        <f t="shared" si="39"/>
        <v>1.24</v>
      </c>
      <c r="M106" s="178">
        <f t="shared" si="40"/>
        <v>0</v>
      </c>
      <c r="N106" s="178">
        <f t="shared" si="42"/>
        <v>1.24</v>
      </c>
      <c r="O106" s="178">
        <f t="shared" si="41"/>
        <v>1.24</v>
      </c>
    </row>
    <row r="107" spans="1:15" s="260" customFormat="1">
      <c r="A107" s="262"/>
      <c r="B107" s="262"/>
      <c r="C107" s="262"/>
      <c r="D107" s="262"/>
      <c r="E107" s="262"/>
      <c r="F107" s="180"/>
      <c r="G107" s="262"/>
      <c r="H107" s="180"/>
      <c r="I107" s="180"/>
      <c r="J107" s="180"/>
      <c r="K107" s="180"/>
      <c r="L107" s="262"/>
      <c r="M107" s="262"/>
      <c r="N107" s="262"/>
      <c r="O107" s="180"/>
    </row>
    <row r="108" spans="1:15" s="284" customFormat="1">
      <c r="A108" s="266"/>
      <c r="B108" s="266"/>
      <c r="C108" s="266"/>
      <c r="D108" s="266"/>
      <c r="E108" s="266"/>
      <c r="F108" s="180"/>
      <c r="G108" s="266"/>
      <c r="H108" s="180"/>
      <c r="I108" s="180"/>
      <c r="J108" s="180"/>
      <c r="K108" s="180"/>
      <c r="L108" s="266"/>
      <c r="M108" s="266"/>
      <c r="N108" s="266"/>
      <c r="O108" s="180"/>
    </row>
    <row r="109" spans="1:15" s="284" customFormat="1" ht="45">
      <c r="A109" s="263" t="s">
        <v>429</v>
      </c>
      <c r="B109" s="264" t="s">
        <v>8</v>
      </c>
      <c r="C109" s="263" t="s">
        <v>9</v>
      </c>
      <c r="D109" s="263" t="s">
        <v>10</v>
      </c>
      <c r="E109" s="547" t="s">
        <v>128</v>
      </c>
      <c r="F109" s="547"/>
      <c r="G109" s="265" t="s">
        <v>11</v>
      </c>
      <c r="H109" s="264" t="s">
        <v>12</v>
      </c>
      <c r="I109" s="264" t="s">
        <v>214</v>
      </c>
      <c r="J109" s="264" t="s">
        <v>215</v>
      </c>
      <c r="K109" s="264" t="s">
        <v>216</v>
      </c>
      <c r="L109" s="264" t="s">
        <v>13</v>
      </c>
      <c r="M109" s="264" t="s">
        <v>210</v>
      </c>
      <c r="N109" s="112" t="s">
        <v>211</v>
      </c>
      <c r="O109" s="264" t="s">
        <v>15</v>
      </c>
    </row>
    <row r="110" spans="1:15" s="284" customFormat="1" ht="14.25" customHeight="1">
      <c r="A110" s="296" t="s">
        <v>127</v>
      </c>
      <c r="B110" s="298" t="s">
        <v>427</v>
      </c>
      <c r="C110" s="296" t="s">
        <v>23</v>
      </c>
      <c r="D110" s="296" t="s">
        <v>416</v>
      </c>
      <c r="E110" s="594" t="s">
        <v>418</v>
      </c>
      <c r="F110" s="594"/>
      <c r="G110" s="297" t="s">
        <v>25</v>
      </c>
      <c r="H110" s="299">
        <v>1</v>
      </c>
      <c r="I110" s="294">
        <f>SUM(I111:I114)</f>
        <v>40.590000000000003</v>
      </c>
      <c r="J110" s="294">
        <f t="shared" ref="J110:O110" si="43">SUM(J111:J114)</f>
        <v>4.0199999999999996</v>
      </c>
      <c r="K110" s="294">
        <f t="shared" si="43"/>
        <v>1268.1899999999998</v>
      </c>
      <c r="L110" s="294">
        <f t="shared" si="43"/>
        <v>1312.8</v>
      </c>
      <c r="M110" s="294">
        <f t="shared" si="43"/>
        <v>40.590000000000003</v>
      </c>
      <c r="N110" s="294">
        <f t="shared" si="43"/>
        <v>1962.8799999999999</v>
      </c>
      <c r="O110" s="294">
        <f t="shared" si="43"/>
        <v>2003.47</v>
      </c>
    </row>
    <row r="111" spans="1:15" s="284" customFormat="1" ht="14.25" customHeight="1">
      <c r="A111" s="300" t="s">
        <v>147</v>
      </c>
      <c r="B111" s="302" t="s">
        <v>419</v>
      </c>
      <c r="C111" s="300" t="s">
        <v>27</v>
      </c>
      <c r="D111" s="300" t="s">
        <v>420</v>
      </c>
      <c r="E111" s="590" t="s">
        <v>144</v>
      </c>
      <c r="F111" s="590"/>
      <c r="G111" s="301" t="s">
        <v>29</v>
      </c>
      <c r="H111" s="303">
        <v>1</v>
      </c>
      <c r="I111" s="274">
        <v>23.46</v>
      </c>
      <c r="J111" s="274">
        <v>2.0099999999999998</v>
      </c>
      <c r="K111" s="274">
        <v>1.77</v>
      </c>
      <c r="L111" s="370">
        <f>SUM(I111:K111)</f>
        <v>27.24</v>
      </c>
      <c r="M111" s="274">
        <f>ROUND(I111*H111,2)</f>
        <v>23.46</v>
      </c>
      <c r="N111" s="274">
        <f>ROUND(SUM(J111:K111)*H111,2)</f>
        <v>3.78</v>
      </c>
      <c r="O111" s="274">
        <f>SUM(M111:N111)</f>
        <v>27.240000000000002</v>
      </c>
    </row>
    <row r="112" spans="1:15" s="284" customFormat="1" ht="25.5">
      <c r="A112" s="300" t="s">
        <v>147</v>
      </c>
      <c r="B112" s="302" t="s">
        <v>421</v>
      </c>
      <c r="C112" s="300" t="s">
        <v>27</v>
      </c>
      <c r="D112" s="300" t="s">
        <v>422</v>
      </c>
      <c r="E112" s="590" t="s">
        <v>144</v>
      </c>
      <c r="F112" s="590"/>
      <c r="G112" s="301" t="s">
        <v>29</v>
      </c>
      <c r="H112" s="303">
        <v>1</v>
      </c>
      <c r="I112" s="274">
        <v>17.13</v>
      </c>
      <c r="J112" s="274">
        <v>2.0099999999999998</v>
      </c>
      <c r="K112" s="274">
        <v>1.77</v>
      </c>
      <c r="L112" s="370">
        <f t="shared" ref="L112:L114" si="44">SUM(I112:K112)</f>
        <v>20.91</v>
      </c>
      <c r="M112" s="274">
        <f>ROUND(I112*H112,2)</f>
        <v>17.13</v>
      </c>
      <c r="N112" s="274">
        <f>ROUND(SUM(J112:K112)*H112,2)</f>
        <v>3.78</v>
      </c>
      <c r="O112" s="274">
        <f>SUM(M112:N112)</f>
        <v>20.91</v>
      </c>
    </row>
    <row r="113" spans="1:15" s="284" customFormat="1">
      <c r="A113" s="304" t="s">
        <v>114</v>
      </c>
      <c r="B113" s="306" t="s">
        <v>423</v>
      </c>
      <c r="C113" s="304" t="s">
        <v>27</v>
      </c>
      <c r="D113" s="304" t="s">
        <v>424</v>
      </c>
      <c r="E113" s="591" t="s">
        <v>111</v>
      </c>
      <c r="F113" s="591"/>
      <c r="G113" s="305" t="s">
        <v>25</v>
      </c>
      <c r="H113" s="307">
        <v>1</v>
      </c>
      <c r="I113" s="279">
        <v>0</v>
      </c>
      <c r="J113" s="279">
        <v>0</v>
      </c>
      <c r="K113" s="279">
        <v>1168.83</v>
      </c>
      <c r="L113" s="374">
        <f t="shared" si="44"/>
        <v>1168.83</v>
      </c>
      <c r="M113" s="279">
        <f>ROUND(I113*H113,2)</f>
        <v>0</v>
      </c>
      <c r="N113" s="279">
        <f>ROUND(SUM(J113:K113)*H113,2)</f>
        <v>1168.83</v>
      </c>
      <c r="O113" s="279">
        <f>SUM(M113:N113)</f>
        <v>1168.83</v>
      </c>
    </row>
    <row r="114" spans="1:15" s="284" customFormat="1" ht="25.5">
      <c r="A114" s="304" t="s">
        <v>114</v>
      </c>
      <c r="B114" s="306" t="s">
        <v>425</v>
      </c>
      <c r="C114" s="304" t="s">
        <v>27</v>
      </c>
      <c r="D114" s="304" t="s">
        <v>426</v>
      </c>
      <c r="E114" s="591" t="s">
        <v>111</v>
      </c>
      <c r="F114" s="591"/>
      <c r="G114" s="305" t="s">
        <v>141</v>
      </c>
      <c r="H114" s="315">
        <v>8.2080000000000002</v>
      </c>
      <c r="I114" s="316">
        <v>0</v>
      </c>
      <c r="J114" s="316">
        <v>0</v>
      </c>
      <c r="K114" s="316">
        <v>95.82</v>
      </c>
      <c r="L114" s="374">
        <f t="shared" si="44"/>
        <v>95.82</v>
      </c>
      <c r="M114" s="374">
        <f t="shared" ref="M114" si="45">ROUND(I114*H114,2)</f>
        <v>0</v>
      </c>
      <c r="N114" s="279">
        <f>ROUND(SUM(J114:K114)*H114,2)</f>
        <v>786.49</v>
      </c>
      <c r="O114" s="279">
        <f t="shared" ref="O114" si="46">SUM(M114:N114)</f>
        <v>786.49</v>
      </c>
    </row>
    <row r="115" spans="1:15">
      <c r="A115" s="266"/>
      <c r="B115" s="266"/>
      <c r="C115" s="266"/>
      <c r="D115" s="266"/>
      <c r="E115" s="266"/>
      <c r="F115" s="180"/>
      <c r="G115" s="266"/>
      <c r="H115" s="598"/>
      <c r="I115" s="598"/>
      <c r="J115" s="598"/>
      <c r="K115" s="598"/>
      <c r="L115" s="598"/>
      <c r="M115" s="266"/>
      <c r="N115" s="266"/>
      <c r="O115" s="180"/>
    </row>
    <row r="116" spans="1:15" s="311" customFormat="1">
      <c r="A116" s="312"/>
      <c r="B116" s="312"/>
      <c r="C116" s="312"/>
      <c r="D116" s="312"/>
      <c r="E116" s="312"/>
      <c r="F116" s="180"/>
      <c r="G116" s="312"/>
      <c r="H116" s="313"/>
      <c r="I116" s="313"/>
      <c r="J116" s="313"/>
      <c r="K116" s="313"/>
      <c r="L116" s="313"/>
      <c r="M116" s="312"/>
      <c r="N116" s="312"/>
      <c r="O116" s="180"/>
    </row>
    <row r="117" spans="1:15" s="311" customFormat="1" ht="45">
      <c r="A117" s="309" t="s">
        <v>430</v>
      </c>
      <c r="B117" s="310" t="s">
        <v>8</v>
      </c>
      <c r="C117" s="309" t="s">
        <v>9</v>
      </c>
      <c r="D117" s="309" t="s">
        <v>10</v>
      </c>
      <c r="E117" s="547" t="s">
        <v>128</v>
      </c>
      <c r="F117" s="547"/>
      <c r="G117" s="308" t="s">
        <v>11</v>
      </c>
      <c r="H117" s="314" t="s">
        <v>12</v>
      </c>
      <c r="I117" s="314" t="s">
        <v>214</v>
      </c>
      <c r="J117" s="314" t="s">
        <v>215</v>
      </c>
      <c r="K117" s="314" t="s">
        <v>216</v>
      </c>
      <c r="L117" s="314" t="s">
        <v>13</v>
      </c>
      <c r="M117" s="310" t="s">
        <v>210</v>
      </c>
      <c r="N117" s="112" t="s">
        <v>211</v>
      </c>
      <c r="O117" s="310" t="s">
        <v>15</v>
      </c>
    </row>
    <row r="118" spans="1:15" s="311" customFormat="1" ht="14.25" customHeight="1">
      <c r="A118" s="317" t="s">
        <v>127</v>
      </c>
      <c r="B118" s="319" t="s">
        <v>428</v>
      </c>
      <c r="C118" s="317" t="s">
        <v>23</v>
      </c>
      <c r="D118" s="317" t="s">
        <v>417</v>
      </c>
      <c r="E118" s="594" t="s">
        <v>418</v>
      </c>
      <c r="F118" s="594"/>
      <c r="G118" s="318" t="s">
        <v>25</v>
      </c>
      <c r="H118" s="320">
        <v>1</v>
      </c>
      <c r="I118" s="294">
        <f t="shared" ref="I118:O118" si="47">SUM(I119:I120)</f>
        <v>40.590000000000003</v>
      </c>
      <c r="J118" s="294">
        <f t="shared" si="47"/>
        <v>4.0199999999999996</v>
      </c>
      <c r="K118" s="294">
        <f t="shared" si="47"/>
        <v>3.54</v>
      </c>
      <c r="L118" s="294">
        <f t="shared" si="47"/>
        <v>48.15</v>
      </c>
      <c r="M118" s="294">
        <f t="shared" si="47"/>
        <v>28.86</v>
      </c>
      <c r="N118" s="294">
        <f t="shared" si="47"/>
        <v>5.67</v>
      </c>
      <c r="O118" s="294">
        <f t="shared" si="47"/>
        <v>34.53</v>
      </c>
    </row>
    <row r="119" spans="1:15" s="311" customFormat="1" ht="25.5">
      <c r="A119" s="321" t="s">
        <v>147</v>
      </c>
      <c r="B119" s="323" t="s">
        <v>419</v>
      </c>
      <c r="C119" s="321" t="s">
        <v>27</v>
      </c>
      <c r="D119" s="321" t="s">
        <v>420</v>
      </c>
      <c r="E119" s="590" t="s">
        <v>144</v>
      </c>
      <c r="F119" s="590"/>
      <c r="G119" s="322" t="s">
        <v>29</v>
      </c>
      <c r="H119" s="324">
        <v>0.5</v>
      </c>
      <c r="I119" s="274">
        <v>23.46</v>
      </c>
      <c r="J119" s="274">
        <v>2.0099999999999998</v>
      </c>
      <c r="K119" s="274">
        <v>1.77</v>
      </c>
      <c r="L119" s="274">
        <f>SUM(I119:K119)</f>
        <v>27.24</v>
      </c>
      <c r="M119" s="274">
        <f>ROUND(I119*H119,2)</f>
        <v>11.73</v>
      </c>
      <c r="N119" s="274">
        <f>ROUND(SUM(J119:K119)*H119,2)</f>
        <v>1.89</v>
      </c>
      <c r="O119" s="274">
        <f>SUM(M119:N119)</f>
        <v>13.620000000000001</v>
      </c>
    </row>
    <row r="120" spans="1:15" s="311" customFormat="1" ht="25.5">
      <c r="A120" s="321" t="s">
        <v>147</v>
      </c>
      <c r="B120" s="323" t="s">
        <v>421</v>
      </c>
      <c r="C120" s="321" t="s">
        <v>27</v>
      </c>
      <c r="D120" s="321" t="s">
        <v>422</v>
      </c>
      <c r="E120" s="590" t="s">
        <v>144</v>
      </c>
      <c r="F120" s="590"/>
      <c r="G120" s="322" t="s">
        <v>29</v>
      </c>
      <c r="H120" s="324">
        <v>1</v>
      </c>
      <c r="I120" s="274">
        <v>17.13</v>
      </c>
      <c r="J120" s="274">
        <v>2.0099999999999998</v>
      </c>
      <c r="K120" s="274">
        <v>1.77</v>
      </c>
      <c r="L120" s="370">
        <f>SUM(I120:K120)</f>
        <v>20.91</v>
      </c>
      <c r="M120" s="274">
        <f>ROUND(I120*H120,2)</f>
        <v>17.13</v>
      </c>
      <c r="N120" s="274">
        <f>ROUND(SUM(J120:K120)*H120,2)</f>
        <v>3.78</v>
      </c>
      <c r="O120" s="274">
        <f>SUM(M120:N120)</f>
        <v>20.91</v>
      </c>
    </row>
    <row r="121" spans="1:15" s="311" customFormat="1">
      <c r="A121" s="312"/>
      <c r="B121" s="312"/>
      <c r="C121" s="312"/>
      <c r="D121" s="312"/>
      <c r="E121" s="312"/>
      <c r="F121" s="180"/>
      <c r="G121" s="312"/>
      <c r="H121" s="313"/>
      <c r="I121" s="313"/>
      <c r="J121" s="313"/>
      <c r="K121" s="313"/>
      <c r="L121" s="313"/>
      <c r="M121" s="312"/>
      <c r="N121" s="312"/>
      <c r="O121" s="180"/>
    </row>
    <row r="122" spans="1:15" s="328" customFormat="1">
      <c r="A122" s="332"/>
      <c r="B122" s="332"/>
      <c r="C122" s="332"/>
      <c r="D122" s="332"/>
      <c r="E122" s="332"/>
      <c r="F122" s="180"/>
      <c r="G122" s="332"/>
      <c r="H122" s="333"/>
      <c r="I122" s="333"/>
      <c r="J122" s="333"/>
      <c r="K122" s="333"/>
      <c r="L122" s="333"/>
      <c r="M122" s="332"/>
      <c r="N122" s="332"/>
      <c r="O122" s="180"/>
    </row>
    <row r="123" spans="1:15" s="328" customFormat="1" ht="45">
      <c r="A123" s="329" t="s">
        <v>435</v>
      </c>
      <c r="B123" s="330" t="s">
        <v>8</v>
      </c>
      <c r="C123" s="329" t="s">
        <v>9</v>
      </c>
      <c r="D123" s="329" t="s">
        <v>10</v>
      </c>
      <c r="E123" s="547" t="s">
        <v>128</v>
      </c>
      <c r="F123" s="547"/>
      <c r="G123" s="331" t="s">
        <v>11</v>
      </c>
      <c r="H123" s="330" t="s">
        <v>12</v>
      </c>
      <c r="I123" s="330" t="s">
        <v>214</v>
      </c>
      <c r="J123" s="330" t="s">
        <v>215</v>
      </c>
      <c r="K123" s="330" t="s">
        <v>216</v>
      </c>
      <c r="L123" s="330" t="s">
        <v>13</v>
      </c>
      <c r="M123" s="330" t="s">
        <v>210</v>
      </c>
      <c r="N123" s="112" t="s">
        <v>211</v>
      </c>
      <c r="O123" s="330" t="s">
        <v>15</v>
      </c>
    </row>
    <row r="124" spans="1:15" s="328" customFormat="1" ht="14.25" customHeight="1">
      <c r="A124" s="335" t="s">
        <v>127</v>
      </c>
      <c r="B124" s="337" t="s">
        <v>436</v>
      </c>
      <c r="C124" s="335" t="s">
        <v>23</v>
      </c>
      <c r="D124" s="335" t="s">
        <v>453</v>
      </c>
      <c r="E124" s="594" t="s">
        <v>150</v>
      </c>
      <c r="F124" s="594"/>
      <c r="G124" s="336" t="s">
        <v>40</v>
      </c>
      <c r="H124" s="338">
        <v>1</v>
      </c>
      <c r="I124" s="327">
        <f>SUM(I125:I128)</f>
        <v>49.87</v>
      </c>
      <c r="J124" s="327">
        <f>SUM(J125:J128)</f>
        <v>4</v>
      </c>
      <c r="K124" s="327">
        <f t="shared" ref="K124:N124" si="48">SUM(K125:K128)</f>
        <v>13.96</v>
      </c>
      <c r="L124" s="327">
        <f t="shared" si="48"/>
        <v>67.83</v>
      </c>
      <c r="M124" s="327">
        <f t="shared" si="48"/>
        <v>2.2999999999999998</v>
      </c>
      <c r="N124" s="327">
        <f t="shared" si="48"/>
        <v>7.69</v>
      </c>
      <c r="O124" s="327">
        <f>SUM(O125:O128)</f>
        <v>9.99</v>
      </c>
    </row>
    <row r="125" spans="1:15" s="328" customFormat="1" ht="25.5">
      <c r="A125" s="339" t="s">
        <v>147</v>
      </c>
      <c r="B125" s="341" t="s">
        <v>146</v>
      </c>
      <c r="C125" s="339" t="s">
        <v>27</v>
      </c>
      <c r="D125" s="339" t="s">
        <v>145</v>
      </c>
      <c r="E125" s="590" t="s">
        <v>144</v>
      </c>
      <c r="F125" s="590"/>
      <c r="G125" s="340" t="s">
        <v>29</v>
      </c>
      <c r="H125" s="342">
        <v>4.5999999999999999E-2</v>
      </c>
      <c r="I125" s="274">
        <v>21.06</v>
      </c>
      <c r="J125" s="274">
        <v>2</v>
      </c>
      <c r="K125" s="274">
        <v>1.77</v>
      </c>
      <c r="L125" s="274">
        <f>SUM(I125:K125)</f>
        <v>24.83</v>
      </c>
      <c r="M125" s="274">
        <f>ROUND(I125*H125,2)</f>
        <v>0.97</v>
      </c>
      <c r="N125" s="274">
        <f>ROUND(SUM(J125:K125)*H125,2)</f>
        <v>0.17</v>
      </c>
      <c r="O125" s="274">
        <f>SUM(M125:N125)</f>
        <v>1.1399999999999999</v>
      </c>
    </row>
    <row r="126" spans="1:15" s="328" customFormat="1" ht="25.5">
      <c r="A126" s="339" t="s">
        <v>147</v>
      </c>
      <c r="B126" s="341" t="s">
        <v>149</v>
      </c>
      <c r="C126" s="339" t="s">
        <v>27</v>
      </c>
      <c r="D126" s="339" t="s">
        <v>148</v>
      </c>
      <c r="E126" s="590" t="s">
        <v>144</v>
      </c>
      <c r="F126" s="590"/>
      <c r="G126" s="340" t="s">
        <v>29</v>
      </c>
      <c r="H126" s="342">
        <v>4.5999999999999999E-2</v>
      </c>
      <c r="I126" s="274">
        <v>28.81</v>
      </c>
      <c r="J126" s="274">
        <v>2</v>
      </c>
      <c r="K126" s="274">
        <v>1.77</v>
      </c>
      <c r="L126" s="370">
        <f t="shared" ref="L126:L128" si="49">SUM(I126:K126)</f>
        <v>32.58</v>
      </c>
      <c r="M126" s="274">
        <f>ROUND(I126*H126,2)</f>
        <v>1.33</v>
      </c>
      <c r="N126" s="274">
        <f>ROUND(SUM(J126:K126)*H126,2)</f>
        <v>0.17</v>
      </c>
      <c r="O126" s="274">
        <f>SUM(M126:N126)</f>
        <v>1.5</v>
      </c>
    </row>
    <row r="127" spans="1:15" s="328" customFormat="1" ht="27.75" customHeight="1">
      <c r="A127" s="343" t="s">
        <v>114</v>
      </c>
      <c r="B127" s="345" t="s">
        <v>437</v>
      </c>
      <c r="C127" s="343" t="s">
        <v>631</v>
      </c>
      <c r="D127" s="343" t="s">
        <v>438</v>
      </c>
      <c r="E127" s="591" t="s">
        <v>111</v>
      </c>
      <c r="F127" s="591"/>
      <c r="G127" s="344" t="s">
        <v>40</v>
      </c>
      <c r="H127" s="346">
        <v>1.1000000000000001</v>
      </c>
      <c r="I127" s="279">
        <v>0</v>
      </c>
      <c r="J127" s="279">
        <v>0</v>
      </c>
      <c r="K127" s="279">
        <v>6.65</v>
      </c>
      <c r="L127" s="374">
        <f t="shared" si="49"/>
        <v>6.65</v>
      </c>
      <c r="M127" s="279">
        <f>ROUND(I127*H127,2)</f>
        <v>0</v>
      </c>
      <c r="N127" s="279">
        <f>ROUND(SUM(J127:K127)*H127,2)</f>
        <v>7.32</v>
      </c>
      <c r="O127" s="279">
        <f>SUM(M127:N127)</f>
        <v>7.32</v>
      </c>
    </row>
    <row r="128" spans="1:15" s="328" customFormat="1">
      <c r="A128" s="343" t="s">
        <v>114</v>
      </c>
      <c r="B128" s="345" t="s">
        <v>439</v>
      </c>
      <c r="C128" s="343" t="s">
        <v>27</v>
      </c>
      <c r="D128" s="343" t="s">
        <v>440</v>
      </c>
      <c r="E128" s="591" t="s">
        <v>111</v>
      </c>
      <c r="F128" s="591"/>
      <c r="G128" s="344" t="s">
        <v>25</v>
      </c>
      <c r="H128" s="346">
        <v>8.9999999999999993E-3</v>
      </c>
      <c r="I128" s="316">
        <v>0</v>
      </c>
      <c r="J128" s="316">
        <v>0</v>
      </c>
      <c r="K128" s="316">
        <v>3.77</v>
      </c>
      <c r="L128" s="374">
        <f t="shared" si="49"/>
        <v>3.77</v>
      </c>
      <c r="M128" s="279">
        <f t="shared" ref="M128" si="50">ROUND(I128*H128,2)</f>
        <v>0</v>
      </c>
      <c r="N128" s="279">
        <f>ROUND(SUM(J128:K128)*H128,2)</f>
        <v>0.03</v>
      </c>
      <c r="O128" s="279">
        <f t="shared" ref="O128" si="51">SUM(M128:N128)</f>
        <v>0.03</v>
      </c>
    </row>
    <row r="129" spans="1:15" s="328" customFormat="1">
      <c r="A129" s="332"/>
      <c r="B129" s="332"/>
      <c r="C129" s="332"/>
      <c r="D129" s="332"/>
      <c r="E129" s="332"/>
      <c r="F129" s="180"/>
      <c r="G129" s="332"/>
      <c r="H129" s="333"/>
      <c r="I129" s="333"/>
      <c r="J129" s="333"/>
      <c r="K129" s="333"/>
      <c r="L129" s="333"/>
      <c r="M129" s="332"/>
      <c r="N129" s="332"/>
      <c r="O129" s="180"/>
    </row>
    <row r="130" spans="1:15" s="428" customFormat="1">
      <c r="A130" s="424"/>
      <c r="B130" s="424"/>
      <c r="C130" s="424"/>
      <c r="D130" s="424"/>
      <c r="E130" s="424"/>
      <c r="F130" s="180"/>
      <c r="G130" s="424"/>
      <c r="H130" s="425"/>
      <c r="I130" s="425"/>
      <c r="J130" s="425"/>
      <c r="K130" s="425"/>
      <c r="L130" s="425"/>
      <c r="M130" s="424"/>
      <c r="N130" s="424"/>
      <c r="O130" s="180"/>
    </row>
    <row r="131" spans="1:15" s="311" customFormat="1" ht="45">
      <c r="A131" s="419" t="s">
        <v>549</v>
      </c>
      <c r="B131" s="420" t="s">
        <v>8</v>
      </c>
      <c r="C131" s="419" t="s">
        <v>9</v>
      </c>
      <c r="D131" s="419" t="s">
        <v>10</v>
      </c>
      <c r="E131" s="592" t="s">
        <v>128</v>
      </c>
      <c r="F131" s="593"/>
      <c r="G131" s="421" t="s">
        <v>11</v>
      </c>
      <c r="H131" s="420" t="s">
        <v>12</v>
      </c>
      <c r="I131" s="420" t="s">
        <v>214</v>
      </c>
      <c r="J131" s="420" t="s">
        <v>215</v>
      </c>
      <c r="K131" s="420" t="s">
        <v>216</v>
      </c>
      <c r="L131" s="420" t="s">
        <v>13</v>
      </c>
      <c r="M131" s="420" t="s">
        <v>210</v>
      </c>
      <c r="N131" s="112" t="s">
        <v>211</v>
      </c>
      <c r="O131" s="420" t="s">
        <v>15</v>
      </c>
    </row>
    <row r="132" spans="1:15" ht="33" customHeight="1">
      <c r="A132" s="429" t="s">
        <v>127</v>
      </c>
      <c r="B132" s="431" t="s">
        <v>459</v>
      </c>
      <c r="C132" s="429" t="s">
        <v>23</v>
      </c>
      <c r="D132" s="429" t="s">
        <v>650</v>
      </c>
      <c r="E132" s="588" t="s">
        <v>150</v>
      </c>
      <c r="F132" s="589"/>
      <c r="G132" s="430" t="s">
        <v>25</v>
      </c>
      <c r="H132" s="367">
        <v>1</v>
      </c>
      <c r="I132" s="432">
        <f t="shared" ref="I132:O132" si="52">SUM(I133:I135)</f>
        <v>44.2</v>
      </c>
      <c r="J132" s="432">
        <f t="shared" si="52"/>
        <v>3.84</v>
      </c>
      <c r="K132" s="432">
        <f t="shared" si="52"/>
        <v>263.44</v>
      </c>
      <c r="L132" s="432">
        <f>SUM(L133:L135)</f>
        <v>311.47999999999996</v>
      </c>
      <c r="M132" s="432">
        <f t="shared" si="52"/>
        <v>44.2</v>
      </c>
      <c r="N132" s="432">
        <f t="shared" si="52"/>
        <v>267.27999999999997</v>
      </c>
      <c r="O132" s="432">
        <f t="shared" si="52"/>
        <v>311.47999999999996</v>
      </c>
    </row>
    <row r="133" spans="1:15" ht="26.1" customHeight="1">
      <c r="A133" s="423" t="s">
        <v>147</v>
      </c>
      <c r="B133" s="369">
        <v>88316</v>
      </c>
      <c r="C133" s="423" t="s">
        <v>27</v>
      </c>
      <c r="D133" s="423" t="s">
        <v>155</v>
      </c>
      <c r="E133" s="426" t="s">
        <v>144</v>
      </c>
      <c r="F133" s="427"/>
      <c r="G133" s="368" t="s">
        <v>29</v>
      </c>
      <c r="H133" s="371">
        <v>1</v>
      </c>
      <c r="I133" s="370">
        <v>15.39</v>
      </c>
      <c r="J133" s="370">
        <v>1.84</v>
      </c>
      <c r="K133" s="370">
        <v>1.77</v>
      </c>
      <c r="L133" s="370">
        <f>SUM(I133:K133)</f>
        <v>19</v>
      </c>
      <c r="M133" s="370">
        <f>ROUND(I133*H133,2)</f>
        <v>15.39</v>
      </c>
      <c r="N133" s="370">
        <f>ROUND(SUM(J133:K133)*H133,2)</f>
        <v>3.61</v>
      </c>
      <c r="O133" s="370">
        <f>SUM(M133:N133)</f>
        <v>19</v>
      </c>
    </row>
    <row r="134" spans="1:15" ht="26.1" customHeight="1">
      <c r="A134" s="423" t="s">
        <v>147</v>
      </c>
      <c r="B134" s="369">
        <v>88264</v>
      </c>
      <c r="C134" s="423" t="s">
        <v>27</v>
      </c>
      <c r="D134" s="423" t="s">
        <v>148</v>
      </c>
      <c r="E134" s="426" t="s">
        <v>144</v>
      </c>
      <c r="F134" s="427"/>
      <c r="G134" s="368" t="s">
        <v>29</v>
      </c>
      <c r="H134" s="371">
        <v>1</v>
      </c>
      <c r="I134" s="370">
        <v>28.81</v>
      </c>
      <c r="J134" s="370">
        <v>2</v>
      </c>
      <c r="K134" s="370">
        <v>1.77</v>
      </c>
      <c r="L134" s="370">
        <f>SUM(I134:K134)</f>
        <v>32.58</v>
      </c>
      <c r="M134" s="370">
        <f>ROUND(I134*H134,2)</f>
        <v>28.81</v>
      </c>
      <c r="N134" s="370">
        <f>ROUND(SUM(J134:K134)*H134,2)</f>
        <v>3.77</v>
      </c>
      <c r="O134" s="370">
        <f>SUM(M134:N134)</f>
        <v>32.58</v>
      </c>
    </row>
    <row r="135" spans="1:15" ht="26.1" customHeight="1" thickBot="1">
      <c r="A135" s="422" t="s">
        <v>114</v>
      </c>
      <c r="B135" s="373">
        <v>78</v>
      </c>
      <c r="C135" s="422" t="s">
        <v>332</v>
      </c>
      <c r="D135" s="422" t="s">
        <v>460</v>
      </c>
      <c r="E135" s="376" t="s">
        <v>111</v>
      </c>
      <c r="F135" s="377"/>
      <c r="G135" s="372" t="s">
        <v>25</v>
      </c>
      <c r="H135" s="375">
        <v>1</v>
      </c>
      <c r="I135" s="374">
        <v>0</v>
      </c>
      <c r="J135" s="374">
        <v>0</v>
      </c>
      <c r="K135" s="374">
        <v>259.89999999999998</v>
      </c>
      <c r="L135" s="374">
        <f>SUM(I135:K135)</f>
        <v>259.89999999999998</v>
      </c>
      <c r="M135" s="374">
        <f>ROUND(I135*H135,2)</f>
        <v>0</v>
      </c>
      <c r="N135" s="374">
        <f>ROUND(SUM(J135:K135)*H135,2)</f>
        <v>259.89999999999998</v>
      </c>
      <c r="O135" s="374">
        <f>SUM(M135:N135)</f>
        <v>259.89999999999998</v>
      </c>
    </row>
    <row r="136" spans="1:15" ht="15.75" customHeight="1" thickTop="1">
      <c r="A136" s="312"/>
      <c r="B136" s="312"/>
      <c r="C136" s="312"/>
      <c r="D136" s="312"/>
      <c r="E136" s="312"/>
      <c r="F136" s="180"/>
      <c r="G136" s="312"/>
      <c r="H136" s="313"/>
      <c r="I136" s="313"/>
      <c r="J136" s="313"/>
      <c r="K136" s="313"/>
      <c r="L136" s="313"/>
      <c r="M136" s="312"/>
      <c r="N136" s="312"/>
      <c r="O136" s="180"/>
    </row>
    <row r="137" spans="1:15" ht="15.75" customHeight="1">
      <c r="A137" s="424"/>
      <c r="B137" s="424"/>
      <c r="C137" s="83"/>
      <c r="D137" s="424"/>
      <c r="E137" s="424"/>
      <c r="F137" s="40"/>
      <c r="G137" s="83"/>
      <c r="H137" s="40"/>
      <c r="I137" s="40"/>
      <c r="J137" s="40"/>
      <c r="K137" s="40"/>
      <c r="L137" s="83"/>
      <c r="M137" s="83"/>
      <c r="N137" s="83"/>
      <c r="O137" s="40"/>
    </row>
    <row r="138" spans="1:15" ht="45">
      <c r="A138" s="77" t="s">
        <v>551</v>
      </c>
      <c r="B138" s="73" t="s">
        <v>8</v>
      </c>
      <c r="C138" s="77" t="s">
        <v>9</v>
      </c>
      <c r="D138" s="77" t="s">
        <v>10</v>
      </c>
      <c r="E138" s="547" t="s">
        <v>128</v>
      </c>
      <c r="F138" s="547"/>
      <c r="G138" s="78" t="s">
        <v>11</v>
      </c>
      <c r="H138" s="73" t="s">
        <v>12</v>
      </c>
      <c r="I138" s="109" t="s">
        <v>214</v>
      </c>
      <c r="J138" s="109" t="s">
        <v>215</v>
      </c>
      <c r="K138" s="109" t="s">
        <v>216</v>
      </c>
      <c r="L138" s="73" t="s">
        <v>13</v>
      </c>
      <c r="M138" s="73" t="s">
        <v>210</v>
      </c>
      <c r="N138" s="112" t="s">
        <v>211</v>
      </c>
      <c r="O138" s="73" t="s">
        <v>15</v>
      </c>
    </row>
    <row r="139" spans="1:15" ht="0.95" customHeight="1">
      <c r="A139" s="81" t="s">
        <v>127</v>
      </c>
      <c r="B139" s="48" t="s">
        <v>223</v>
      </c>
      <c r="C139" s="81" t="s">
        <v>23</v>
      </c>
      <c r="D139" s="81" t="s">
        <v>80</v>
      </c>
      <c r="E139" s="594" t="s">
        <v>150</v>
      </c>
      <c r="F139" s="594"/>
      <c r="G139" s="47" t="s">
        <v>40</v>
      </c>
      <c r="H139" s="45">
        <v>1</v>
      </c>
      <c r="I139" s="45">
        <f>SUM(I141:I142)</f>
        <v>49.87</v>
      </c>
      <c r="J139" s="45">
        <f>SUM(J141:J142)</f>
        <v>4</v>
      </c>
      <c r="K139" s="45">
        <f t="shared" ref="K139:O139" si="53">SUM(K141:K142)</f>
        <v>3.54</v>
      </c>
      <c r="L139" s="45">
        <f t="shared" si="53"/>
        <v>57.41</v>
      </c>
      <c r="M139" s="45">
        <f t="shared" si="53"/>
        <v>18.899999999999999</v>
      </c>
      <c r="N139" s="45">
        <f t="shared" si="53"/>
        <v>2.86</v>
      </c>
      <c r="O139" s="45">
        <f t="shared" si="53"/>
        <v>21.759999999999998</v>
      </c>
    </row>
    <row r="140" spans="1:15" s="428" customFormat="1" ht="40.5" customHeight="1">
      <c r="A140" s="429" t="s">
        <v>127</v>
      </c>
      <c r="B140" s="431" t="s">
        <v>223</v>
      </c>
      <c r="C140" s="429" t="s">
        <v>23</v>
      </c>
      <c r="D140" s="429" t="s">
        <v>80</v>
      </c>
      <c r="E140" s="600" t="s">
        <v>126</v>
      </c>
      <c r="F140" s="601"/>
      <c r="G140" s="430" t="s">
        <v>25</v>
      </c>
      <c r="H140" s="367">
        <v>1</v>
      </c>
      <c r="I140" s="432">
        <f t="shared" ref="I140:O140" si="54">SUM(I141:I142)</f>
        <v>49.87</v>
      </c>
      <c r="J140" s="432">
        <f t="shared" si="54"/>
        <v>4</v>
      </c>
      <c r="K140" s="432">
        <f t="shared" si="54"/>
        <v>3.54</v>
      </c>
      <c r="L140" s="432">
        <f>SUM(L141:L142)</f>
        <v>57.41</v>
      </c>
      <c r="M140" s="432">
        <f t="shared" si="54"/>
        <v>18.899999999999999</v>
      </c>
      <c r="N140" s="432">
        <f t="shared" si="54"/>
        <v>2.86</v>
      </c>
      <c r="O140" s="432">
        <f t="shared" si="54"/>
        <v>21.759999999999998</v>
      </c>
    </row>
    <row r="141" spans="1:15" ht="36.75" customHeight="1">
      <c r="A141" s="82" t="s">
        <v>147</v>
      </c>
      <c r="B141" s="53" t="s">
        <v>149</v>
      </c>
      <c r="C141" s="82" t="s">
        <v>27</v>
      </c>
      <c r="D141" s="82" t="s">
        <v>148</v>
      </c>
      <c r="E141" s="590" t="s">
        <v>144</v>
      </c>
      <c r="F141" s="590"/>
      <c r="G141" s="52" t="s">
        <v>29</v>
      </c>
      <c r="H141" s="51">
        <v>0.379</v>
      </c>
      <c r="I141" s="50">
        <v>28.81</v>
      </c>
      <c r="J141" s="50">
        <v>2</v>
      </c>
      <c r="K141" s="50">
        <v>1.77</v>
      </c>
      <c r="L141" s="50">
        <f>SUM(I141:K141)</f>
        <v>32.58</v>
      </c>
      <c r="M141" s="50">
        <f>ROUND(I141*H141,2)</f>
        <v>10.92</v>
      </c>
      <c r="N141" s="50">
        <f>ROUND(SUM(J141:K141)*H141,2)</f>
        <v>1.43</v>
      </c>
      <c r="O141" s="50">
        <f>SUM(M141:N141)</f>
        <v>12.35</v>
      </c>
    </row>
    <row r="142" spans="1:15" ht="26.1" customHeight="1">
      <c r="A142" s="82" t="s">
        <v>147</v>
      </c>
      <c r="B142" s="53" t="s">
        <v>146</v>
      </c>
      <c r="C142" s="82" t="s">
        <v>27</v>
      </c>
      <c r="D142" s="82" t="s">
        <v>145</v>
      </c>
      <c r="E142" s="590" t="s">
        <v>144</v>
      </c>
      <c r="F142" s="590"/>
      <c r="G142" s="52" t="s">
        <v>29</v>
      </c>
      <c r="H142" s="51">
        <v>0.379</v>
      </c>
      <c r="I142" s="50">
        <v>21.06</v>
      </c>
      <c r="J142" s="50">
        <v>2</v>
      </c>
      <c r="K142" s="50">
        <v>1.77</v>
      </c>
      <c r="L142" s="50">
        <f>SUM(I142:K142)</f>
        <v>24.83</v>
      </c>
      <c r="M142" s="50">
        <f>ROUND(I142*H142,2)</f>
        <v>7.98</v>
      </c>
      <c r="N142" s="50">
        <f>ROUND(SUM(J142:K142)*H142,2)</f>
        <v>1.43</v>
      </c>
      <c r="O142" s="50">
        <f>SUM(M142:N142)</f>
        <v>9.41</v>
      </c>
    </row>
    <row r="143" spans="1:15" ht="17.25" customHeight="1">
      <c r="A143" s="83"/>
      <c r="B143" s="83"/>
      <c r="C143" s="83"/>
      <c r="D143" s="83"/>
      <c r="E143" s="83"/>
      <c r="F143" s="40"/>
      <c r="G143" s="83"/>
      <c r="H143" s="40"/>
      <c r="I143" s="40"/>
      <c r="J143" s="40"/>
      <c r="K143" s="40"/>
      <c r="L143" s="83"/>
      <c r="M143" s="83"/>
      <c r="N143" s="83"/>
      <c r="O143" s="40"/>
    </row>
    <row r="144" spans="1:15" ht="19.5" customHeight="1">
      <c r="A144" s="157"/>
      <c r="B144" s="157"/>
      <c r="C144" s="157"/>
      <c r="D144" s="157"/>
      <c r="E144" s="157"/>
      <c r="F144" s="40"/>
      <c r="G144" s="157"/>
      <c r="H144" s="40"/>
      <c r="I144" s="40"/>
      <c r="J144" s="40"/>
      <c r="K144" s="40"/>
      <c r="L144" s="157"/>
      <c r="M144" s="157"/>
      <c r="N144" s="157"/>
      <c r="O144" s="40"/>
    </row>
    <row r="145" spans="1:15" s="151" customFormat="1" ht="45">
      <c r="A145" s="419" t="s">
        <v>553</v>
      </c>
      <c r="B145" s="419" t="s">
        <v>8</v>
      </c>
      <c r="C145" s="152" t="s">
        <v>9</v>
      </c>
      <c r="D145" s="152" t="s">
        <v>10</v>
      </c>
      <c r="E145" s="592" t="s">
        <v>128</v>
      </c>
      <c r="F145" s="593"/>
      <c r="G145" s="154" t="s">
        <v>11</v>
      </c>
      <c r="H145" s="153" t="s">
        <v>12</v>
      </c>
      <c r="I145" s="153" t="s">
        <v>214</v>
      </c>
      <c r="J145" s="153" t="s">
        <v>215</v>
      </c>
      <c r="K145" s="153" t="s">
        <v>216</v>
      </c>
      <c r="L145" s="153" t="s">
        <v>13</v>
      </c>
      <c r="M145" s="153" t="s">
        <v>210</v>
      </c>
      <c r="N145" s="112" t="s">
        <v>211</v>
      </c>
      <c r="O145" s="153" t="s">
        <v>15</v>
      </c>
    </row>
    <row r="146" spans="1:15" s="151" customFormat="1" ht="51" customHeight="1">
      <c r="A146" s="156" t="s">
        <v>127</v>
      </c>
      <c r="B146" s="48" t="s">
        <v>224</v>
      </c>
      <c r="C146" s="156" t="s">
        <v>23</v>
      </c>
      <c r="D146" s="156" t="s">
        <v>652</v>
      </c>
      <c r="E146" s="600" t="s">
        <v>126</v>
      </c>
      <c r="F146" s="601"/>
      <c r="G146" s="47" t="s">
        <v>25</v>
      </c>
      <c r="H146" s="46">
        <v>1</v>
      </c>
      <c r="I146" s="45">
        <f t="shared" ref="I146:K146" si="55">SUM(I149:I150)</f>
        <v>0</v>
      </c>
      <c r="J146" s="45">
        <f t="shared" si="55"/>
        <v>0</v>
      </c>
      <c r="K146" s="45">
        <f t="shared" si="55"/>
        <v>206.5</v>
      </c>
      <c r="L146" s="45">
        <f>SUM(L147:L150)</f>
        <v>263.90999999999997</v>
      </c>
      <c r="M146" s="45">
        <f>SUM(M147:M150)</f>
        <v>15.58</v>
      </c>
      <c r="N146" s="45">
        <f>SUM(N147:N150)</f>
        <v>241.11</v>
      </c>
      <c r="O146" s="45">
        <f>SUM(O147:O150)</f>
        <v>256.69</v>
      </c>
    </row>
    <row r="147" spans="1:15" s="151" customFormat="1" ht="51" customHeight="1">
      <c r="A147" s="231" t="s">
        <v>147</v>
      </c>
      <c r="B147" s="221" t="s">
        <v>146</v>
      </c>
      <c r="C147" s="231" t="s">
        <v>27</v>
      </c>
      <c r="D147" s="416" t="s">
        <v>145</v>
      </c>
      <c r="E147" s="602" t="s">
        <v>144</v>
      </c>
      <c r="F147" s="603"/>
      <c r="G147" s="220" t="s">
        <v>29</v>
      </c>
      <c r="H147" s="222">
        <v>0.17269999999999999</v>
      </c>
      <c r="I147" s="177">
        <v>21.06</v>
      </c>
      <c r="J147" s="177">
        <v>2</v>
      </c>
      <c r="K147" s="177">
        <v>1.77</v>
      </c>
      <c r="L147" s="177">
        <f>SUM(I147:K147)</f>
        <v>24.83</v>
      </c>
      <c r="M147" s="177">
        <f>ROUND(I147*H147,2)</f>
        <v>3.64</v>
      </c>
      <c r="N147" s="177">
        <f>ROUND(SUM(J147:K147)*H147,2)</f>
        <v>0.65</v>
      </c>
      <c r="O147" s="177">
        <f>SUM(M147:N147)</f>
        <v>4.29</v>
      </c>
    </row>
    <row r="148" spans="1:15" s="229" customFormat="1" ht="26.1" customHeight="1">
      <c r="A148" s="231" t="s">
        <v>147</v>
      </c>
      <c r="B148" s="221" t="s">
        <v>149</v>
      </c>
      <c r="C148" s="231" t="s">
        <v>27</v>
      </c>
      <c r="D148" s="416" t="s">
        <v>148</v>
      </c>
      <c r="E148" s="590" t="s">
        <v>144</v>
      </c>
      <c r="F148" s="590"/>
      <c r="G148" s="220" t="s">
        <v>29</v>
      </c>
      <c r="H148" s="222">
        <v>0.41439999999999999</v>
      </c>
      <c r="I148" s="177">
        <v>28.81</v>
      </c>
      <c r="J148" s="177">
        <v>2</v>
      </c>
      <c r="K148" s="177">
        <v>1.77</v>
      </c>
      <c r="L148" s="177">
        <f t="shared" ref="L148" si="56">SUM(I148:K148)</f>
        <v>32.58</v>
      </c>
      <c r="M148" s="177">
        <f t="shared" ref="M148" si="57">ROUND(I148*H148,2)</f>
        <v>11.94</v>
      </c>
      <c r="N148" s="177">
        <f t="shared" ref="N148" si="58">ROUND(SUM(J148:K148)*H148,2)</f>
        <v>1.56</v>
      </c>
      <c r="O148" s="177">
        <f t="shared" ref="O148" si="59">SUM(M148:N148)</f>
        <v>13.5</v>
      </c>
    </row>
    <row r="149" spans="1:15" s="229" customFormat="1" ht="24" customHeight="1">
      <c r="A149" s="155" t="s">
        <v>114</v>
      </c>
      <c r="B149" s="44">
        <v>69</v>
      </c>
      <c r="C149" s="155" t="s">
        <v>332</v>
      </c>
      <c r="D149" s="155" t="s">
        <v>255</v>
      </c>
      <c r="E149" s="591" t="s">
        <v>111</v>
      </c>
      <c r="F149" s="591"/>
      <c r="G149" s="43" t="s">
        <v>25</v>
      </c>
      <c r="H149" s="42">
        <v>1</v>
      </c>
      <c r="I149" s="41">
        <v>0</v>
      </c>
      <c r="J149" s="41">
        <v>0</v>
      </c>
      <c r="K149" s="41">
        <v>195.7</v>
      </c>
      <c r="L149" s="41">
        <f t="shared" ref="L149:L150" si="60">SUM(I149:K149)</f>
        <v>195.7</v>
      </c>
      <c r="M149" s="41">
        <f t="shared" ref="M149:M150" si="61">ROUND(I149*H149,2)</f>
        <v>0</v>
      </c>
      <c r="N149" s="41">
        <f t="shared" ref="N149:N150" si="62">ROUND(SUM(J149:K149)*H149,2)</f>
        <v>195.7</v>
      </c>
      <c r="O149" s="41">
        <f t="shared" ref="O149:O150" si="63">SUM(M149:N149)</f>
        <v>195.7</v>
      </c>
    </row>
    <row r="150" spans="1:15" s="151" customFormat="1">
      <c r="A150" s="155" t="s">
        <v>114</v>
      </c>
      <c r="B150" s="44" t="s">
        <v>182</v>
      </c>
      <c r="C150" s="155" t="s">
        <v>27</v>
      </c>
      <c r="D150" s="155" t="s">
        <v>181</v>
      </c>
      <c r="E150" s="591" t="s">
        <v>111</v>
      </c>
      <c r="F150" s="591"/>
      <c r="G150" s="43" t="s">
        <v>25</v>
      </c>
      <c r="H150" s="42">
        <v>4</v>
      </c>
      <c r="I150" s="41">
        <v>0</v>
      </c>
      <c r="J150" s="41">
        <v>0</v>
      </c>
      <c r="K150" s="41">
        <v>10.8</v>
      </c>
      <c r="L150" s="41">
        <f t="shared" si="60"/>
        <v>10.8</v>
      </c>
      <c r="M150" s="41">
        <f t="shared" si="61"/>
        <v>0</v>
      </c>
      <c r="N150" s="41">
        <f t="shared" si="62"/>
        <v>43.2</v>
      </c>
      <c r="O150" s="41">
        <f t="shared" si="63"/>
        <v>43.2</v>
      </c>
    </row>
    <row r="151" spans="1:15" s="151" customFormat="1">
      <c r="A151" s="157"/>
      <c r="B151" s="157"/>
      <c r="C151" s="157"/>
      <c r="D151" s="157"/>
      <c r="E151" s="157"/>
      <c r="F151" s="40"/>
      <c r="G151" s="157"/>
      <c r="H151" s="40"/>
      <c r="I151" s="40"/>
      <c r="J151" s="40"/>
      <c r="K151" s="40"/>
      <c r="L151" s="157"/>
      <c r="M151" s="157"/>
      <c r="N151" s="157"/>
      <c r="O151" s="40"/>
    </row>
    <row r="152" spans="1:15" s="151" customFormat="1">
      <c r="A152" s="83"/>
      <c r="B152" s="83"/>
      <c r="C152" s="83"/>
      <c r="D152" s="83"/>
      <c r="E152" s="83"/>
      <c r="F152" s="40"/>
      <c r="G152" s="83"/>
      <c r="H152" s="597"/>
      <c r="I152" s="597"/>
      <c r="J152" s="597"/>
      <c r="K152" s="597"/>
      <c r="L152" s="597"/>
      <c r="M152" s="83"/>
      <c r="N152" s="83"/>
      <c r="O152" s="40"/>
    </row>
    <row r="153" spans="1:15" ht="45">
      <c r="A153" s="77" t="s">
        <v>275</v>
      </c>
      <c r="B153" s="73" t="s">
        <v>8</v>
      </c>
      <c r="C153" s="77" t="s">
        <v>9</v>
      </c>
      <c r="D153" s="77" t="s">
        <v>10</v>
      </c>
      <c r="E153" s="547" t="s">
        <v>128</v>
      </c>
      <c r="F153" s="547"/>
      <c r="G153" s="78" t="s">
        <v>11</v>
      </c>
      <c r="H153" s="73" t="s">
        <v>12</v>
      </c>
      <c r="I153" s="109" t="s">
        <v>214</v>
      </c>
      <c r="J153" s="109" t="s">
        <v>215</v>
      </c>
      <c r="K153" s="109" t="s">
        <v>216</v>
      </c>
      <c r="L153" s="73" t="s">
        <v>13</v>
      </c>
      <c r="M153" s="73" t="s">
        <v>210</v>
      </c>
      <c r="N153" s="112" t="s">
        <v>211</v>
      </c>
      <c r="O153" s="73" t="s">
        <v>15</v>
      </c>
    </row>
    <row r="154" spans="1:15" ht="0.95" customHeight="1">
      <c r="A154" s="81" t="s">
        <v>127</v>
      </c>
      <c r="B154" s="48" t="s">
        <v>225</v>
      </c>
      <c r="C154" s="81" t="s">
        <v>23</v>
      </c>
      <c r="D154" s="81" t="s">
        <v>85</v>
      </c>
      <c r="E154" s="594" t="s">
        <v>143</v>
      </c>
      <c r="F154" s="594"/>
      <c r="G154" s="47" t="s">
        <v>25</v>
      </c>
      <c r="H154" s="46">
        <v>1</v>
      </c>
      <c r="I154" s="45">
        <f t="shared" ref="I154:O154" si="64">SUM(I156:I164)</f>
        <v>42.79</v>
      </c>
      <c r="J154" s="45">
        <f t="shared" si="64"/>
        <v>0</v>
      </c>
      <c r="K154" s="45">
        <f t="shared" si="64"/>
        <v>50.900000000000006</v>
      </c>
      <c r="L154" s="45">
        <f t="shared" si="64"/>
        <v>93.690000000000012</v>
      </c>
      <c r="M154" s="45">
        <f t="shared" si="64"/>
        <v>171.16</v>
      </c>
      <c r="N154" s="45">
        <f t="shared" si="64"/>
        <v>54.260000000000005</v>
      </c>
      <c r="O154" s="45">
        <f t="shared" si="64"/>
        <v>225.42000000000002</v>
      </c>
    </row>
    <row r="155" spans="1:15" s="428" customFormat="1" ht="27" customHeight="1">
      <c r="A155" s="429" t="s">
        <v>127</v>
      </c>
      <c r="B155" s="431" t="s">
        <v>225</v>
      </c>
      <c r="C155" s="429" t="s">
        <v>23</v>
      </c>
      <c r="D155" s="429" t="s">
        <v>651</v>
      </c>
      <c r="E155" s="594" t="s">
        <v>143</v>
      </c>
      <c r="F155" s="594"/>
      <c r="G155" s="430" t="s">
        <v>25</v>
      </c>
      <c r="H155" s="367">
        <v>1</v>
      </c>
      <c r="I155" s="432">
        <f>SUM(I156:I164)</f>
        <v>42.79</v>
      </c>
      <c r="J155" s="432">
        <f>SUM(J156:J164)</f>
        <v>0</v>
      </c>
      <c r="K155" s="432">
        <f>SUM(K156:K164)</f>
        <v>50.900000000000006</v>
      </c>
      <c r="L155" s="432">
        <f>SUM(L156:L164)</f>
        <v>93.690000000000012</v>
      </c>
      <c r="M155" s="432">
        <f>SUM(M156:M164)</f>
        <v>171.16</v>
      </c>
      <c r="N155" s="432">
        <f t="shared" ref="N155:O155" si="65">SUM(N156:N164)</f>
        <v>54.260000000000005</v>
      </c>
      <c r="O155" s="432">
        <f t="shared" si="65"/>
        <v>225.42000000000002</v>
      </c>
    </row>
    <row r="156" spans="1:15" ht="32.25" customHeight="1">
      <c r="A156" s="80" t="s">
        <v>114</v>
      </c>
      <c r="B156" s="44">
        <v>344</v>
      </c>
      <c r="C156" s="80" t="s">
        <v>27</v>
      </c>
      <c r="D156" s="80" t="s">
        <v>142</v>
      </c>
      <c r="E156" s="591" t="s">
        <v>111</v>
      </c>
      <c r="F156" s="591"/>
      <c r="G156" s="43" t="s">
        <v>141</v>
      </c>
      <c r="H156" s="42">
        <v>0.35</v>
      </c>
      <c r="I156" s="41">
        <v>0</v>
      </c>
      <c r="J156" s="41">
        <v>0</v>
      </c>
      <c r="K156" s="41">
        <v>39.44</v>
      </c>
      <c r="L156" s="41">
        <f>SUM(I156:K156)</f>
        <v>39.44</v>
      </c>
      <c r="M156" s="41">
        <f>ROUND(I156*H156,2)</f>
        <v>0</v>
      </c>
      <c r="N156" s="41">
        <f>ROUND(SUM(J156:K156)*H156,2)</f>
        <v>13.8</v>
      </c>
      <c r="O156" s="41">
        <f>SUM(M156:N156)</f>
        <v>13.8</v>
      </c>
    </row>
    <row r="157" spans="1:15" ht="26.1" customHeight="1">
      <c r="A157" s="80" t="s">
        <v>114</v>
      </c>
      <c r="B157" s="44" t="s">
        <v>140</v>
      </c>
      <c r="C157" s="80" t="s">
        <v>27</v>
      </c>
      <c r="D157" s="80" t="s">
        <v>139</v>
      </c>
      <c r="E157" s="591" t="s">
        <v>111</v>
      </c>
      <c r="F157" s="591"/>
      <c r="G157" s="43" t="s">
        <v>25</v>
      </c>
      <c r="H157" s="42">
        <v>4</v>
      </c>
      <c r="I157" s="41">
        <v>0</v>
      </c>
      <c r="J157" s="41">
        <v>0</v>
      </c>
      <c r="K157" s="41">
        <v>1.45</v>
      </c>
      <c r="L157" s="41">
        <f t="shared" ref="L157:L164" si="66">SUM(I157:K157)</f>
        <v>1.45</v>
      </c>
      <c r="M157" s="41">
        <f t="shared" ref="M157:M164" si="67">ROUND(I157*H157,2)</f>
        <v>0</v>
      </c>
      <c r="N157" s="41">
        <f>ROUND(SUM(J157:K157)*H157,2)</f>
        <v>5.8</v>
      </c>
      <c r="O157" s="41">
        <f t="shared" ref="O157:O164" si="68">SUM(M157:N157)</f>
        <v>5.8</v>
      </c>
    </row>
    <row r="158" spans="1:15" ht="18.75" customHeight="1">
      <c r="A158" s="80" t="s">
        <v>114</v>
      </c>
      <c r="B158" s="44" t="s">
        <v>138</v>
      </c>
      <c r="C158" s="80" t="s">
        <v>27</v>
      </c>
      <c r="D158" s="80" t="s">
        <v>137</v>
      </c>
      <c r="E158" s="591" t="s">
        <v>111</v>
      </c>
      <c r="F158" s="591"/>
      <c r="G158" s="43" t="s">
        <v>25</v>
      </c>
      <c r="H158" s="42">
        <v>4</v>
      </c>
      <c r="I158" s="41">
        <v>0</v>
      </c>
      <c r="J158" s="41">
        <v>0</v>
      </c>
      <c r="K158" s="41">
        <v>0.75</v>
      </c>
      <c r="L158" s="41">
        <f t="shared" si="66"/>
        <v>0.75</v>
      </c>
      <c r="M158" s="41">
        <f t="shared" si="67"/>
        <v>0</v>
      </c>
      <c r="N158" s="41">
        <f t="shared" ref="N158:N164" si="69">ROUND(SUM(J158:K158)*H158,2)</f>
        <v>3</v>
      </c>
      <c r="O158" s="41">
        <f t="shared" si="68"/>
        <v>3</v>
      </c>
    </row>
    <row r="159" spans="1:15" ht="16.5" customHeight="1">
      <c r="A159" s="80" t="s">
        <v>114</v>
      </c>
      <c r="B159" s="44" t="s">
        <v>136</v>
      </c>
      <c r="C159" s="80" t="s">
        <v>27</v>
      </c>
      <c r="D159" s="80" t="s">
        <v>135</v>
      </c>
      <c r="E159" s="591" t="s">
        <v>111</v>
      </c>
      <c r="F159" s="591"/>
      <c r="G159" s="43" t="s">
        <v>40</v>
      </c>
      <c r="H159" s="42">
        <v>6</v>
      </c>
      <c r="I159" s="41">
        <v>0</v>
      </c>
      <c r="J159" s="41">
        <v>0</v>
      </c>
      <c r="K159" s="41">
        <v>4.4800000000000004</v>
      </c>
      <c r="L159" s="41">
        <f t="shared" si="66"/>
        <v>4.4800000000000004</v>
      </c>
      <c r="M159" s="41">
        <f t="shared" si="67"/>
        <v>0</v>
      </c>
      <c r="N159" s="41">
        <f t="shared" si="69"/>
        <v>26.88</v>
      </c>
      <c r="O159" s="41">
        <f t="shared" si="68"/>
        <v>26.88</v>
      </c>
    </row>
    <row r="160" spans="1:15" ht="26.1" customHeight="1">
      <c r="A160" s="80" t="s">
        <v>114</v>
      </c>
      <c r="B160" s="44" t="s">
        <v>134</v>
      </c>
      <c r="C160" s="80" t="s">
        <v>27</v>
      </c>
      <c r="D160" s="80" t="s">
        <v>133</v>
      </c>
      <c r="E160" s="591" t="s">
        <v>111</v>
      </c>
      <c r="F160" s="591"/>
      <c r="G160" s="43" t="s">
        <v>25</v>
      </c>
      <c r="H160" s="42">
        <v>1</v>
      </c>
      <c r="I160" s="41">
        <v>0</v>
      </c>
      <c r="J160" s="41">
        <v>0</v>
      </c>
      <c r="K160" s="41">
        <v>0.81</v>
      </c>
      <c r="L160" s="41">
        <f t="shared" si="66"/>
        <v>0.81</v>
      </c>
      <c r="M160" s="41">
        <f t="shared" si="67"/>
        <v>0</v>
      </c>
      <c r="N160" s="41">
        <f t="shared" si="69"/>
        <v>0.81</v>
      </c>
      <c r="O160" s="41">
        <f t="shared" si="68"/>
        <v>0.81</v>
      </c>
    </row>
    <row r="161" spans="1:15" ht="26.1" customHeight="1">
      <c r="A161" s="80" t="s">
        <v>114</v>
      </c>
      <c r="B161" s="44" t="s">
        <v>132</v>
      </c>
      <c r="C161" s="80" t="s">
        <v>27</v>
      </c>
      <c r="D161" s="80" t="s">
        <v>131</v>
      </c>
      <c r="E161" s="591" t="s">
        <v>111</v>
      </c>
      <c r="F161" s="591"/>
      <c r="G161" s="43" t="s">
        <v>25</v>
      </c>
      <c r="H161" s="42">
        <v>1</v>
      </c>
      <c r="I161" s="41">
        <v>0</v>
      </c>
      <c r="J161" s="41">
        <v>0</v>
      </c>
      <c r="K161" s="41">
        <v>2.23</v>
      </c>
      <c r="L161" s="41">
        <f t="shared" si="66"/>
        <v>2.23</v>
      </c>
      <c r="M161" s="41">
        <f t="shared" si="67"/>
        <v>0</v>
      </c>
      <c r="N161" s="41">
        <f t="shared" si="69"/>
        <v>2.23</v>
      </c>
      <c r="O161" s="41">
        <f t="shared" si="68"/>
        <v>2.23</v>
      </c>
    </row>
    <row r="162" spans="1:15" ht="26.1" customHeight="1">
      <c r="A162" s="80" t="s">
        <v>114</v>
      </c>
      <c r="B162" s="44" t="s">
        <v>130</v>
      </c>
      <c r="C162" s="80" t="s">
        <v>27</v>
      </c>
      <c r="D162" s="80" t="s">
        <v>129</v>
      </c>
      <c r="E162" s="591" t="s">
        <v>111</v>
      </c>
      <c r="F162" s="591"/>
      <c r="G162" s="43" t="s">
        <v>25</v>
      </c>
      <c r="H162" s="42">
        <v>1</v>
      </c>
      <c r="I162" s="41">
        <v>0</v>
      </c>
      <c r="J162" s="41">
        <v>0</v>
      </c>
      <c r="K162" s="41">
        <v>1.74</v>
      </c>
      <c r="L162" s="41">
        <f t="shared" si="66"/>
        <v>1.74</v>
      </c>
      <c r="M162" s="41">
        <f t="shared" si="67"/>
        <v>0</v>
      </c>
      <c r="N162" s="41">
        <f t="shared" si="69"/>
        <v>1.74</v>
      </c>
      <c r="O162" s="41">
        <f t="shared" si="68"/>
        <v>1.74</v>
      </c>
    </row>
    <row r="163" spans="1:15" ht="24" customHeight="1">
      <c r="A163" s="80" t="s">
        <v>114</v>
      </c>
      <c r="B163" s="44" t="s">
        <v>123</v>
      </c>
      <c r="C163" s="80" t="s">
        <v>27</v>
      </c>
      <c r="D163" s="80" t="s">
        <v>122</v>
      </c>
      <c r="E163" s="591" t="s">
        <v>117</v>
      </c>
      <c r="F163" s="591"/>
      <c r="G163" s="43" t="s">
        <v>29</v>
      </c>
      <c r="H163" s="42">
        <v>4</v>
      </c>
      <c r="I163" s="41">
        <v>27.73</v>
      </c>
      <c r="J163" s="41">
        <v>0</v>
      </c>
      <c r="K163" s="41">
        <v>0</v>
      </c>
      <c r="L163" s="41">
        <f t="shared" si="66"/>
        <v>27.73</v>
      </c>
      <c r="M163" s="41">
        <f t="shared" si="67"/>
        <v>110.92</v>
      </c>
      <c r="N163" s="41">
        <f t="shared" si="69"/>
        <v>0</v>
      </c>
      <c r="O163" s="41">
        <f t="shared" si="68"/>
        <v>110.92</v>
      </c>
    </row>
    <row r="164" spans="1:15" ht="24" customHeight="1">
      <c r="A164" s="80" t="s">
        <v>114</v>
      </c>
      <c r="B164" s="44" t="s">
        <v>119</v>
      </c>
      <c r="C164" s="80" t="s">
        <v>27</v>
      </c>
      <c r="D164" s="80" t="s">
        <v>118</v>
      </c>
      <c r="E164" s="591" t="s">
        <v>117</v>
      </c>
      <c r="F164" s="591"/>
      <c r="G164" s="43" t="s">
        <v>29</v>
      </c>
      <c r="H164" s="42">
        <v>4</v>
      </c>
      <c r="I164" s="41">
        <v>15.06</v>
      </c>
      <c r="J164" s="41">
        <v>0</v>
      </c>
      <c r="K164" s="41">
        <v>0</v>
      </c>
      <c r="L164" s="41">
        <f t="shared" si="66"/>
        <v>15.06</v>
      </c>
      <c r="M164" s="41">
        <f t="shared" si="67"/>
        <v>60.24</v>
      </c>
      <c r="N164" s="41">
        <f t="shared" si="69"/>
        <v>0</v>
      </c>
      <c r="O164" s="41">
        <f t="shared" si="68"/>
        <v>60.24</v>
      </c>
    </row>
    <row r="165" spans="1:15" ht="24" customHeight="1">
      <c r="A165" s="83"/>
      <c r="B165" s="83"/>
      <c r="C165" s="83"/>
      <c r="D165" s="83"/>
      <c r="E165" s="83"/>
      <c r="F165" s="40"/>
      <c r="G165" s="83"/>
      <c r="H165" s="40"/>
      <c r="I165" s="40"/>
      <c r="J165" s="40"/>
      <c r="K165" s="40"/>
      <c r="L165" s="83"/>
      <c r="M165" s="83"/>
      <c r="N165" s="83"/>
      <c r="O165" s="40"/>
    </row>
    <row r="166" spans="1:15">
      <c r="A166" s="83"/>
      <c r="B166" s="83"/>
      <c r="C166" s="83"/>
      <c r="D166" s="83"/>
      <c r="E166" s="83"/>
      <c r="F166" s="40"/>
      <c r="G166" s="83"/>
      <c r="H166" s="597"/>
      <c r="I166" s="597"/>
      <c r="J166" s="597"/>
      <c r="K166" s="597"/>
      <c r="L166" s="597"/>
      <c r="M166" s="83"/>
      <c r="N166" s="83"/>
      <c r="O166" s="40"/>
    </row>
    <row r="167" spans="1:15" ht="45">
      <c r="A167" s="77" t="s">
        <v>278</v>
      </c>
      <c r="B167" s="73" t="s">
        <v>8</v>
      </c>
      <c r="C167" s="77" t="s">
        <v>9</v>
      </c>
      <c r="D167" s="77" t="s">
        <v>10</v>
      </c>
      <c r="E167" s="547" t="s">
        <v>128</v>
      </c>
      <c r="F167" s="547"/>
      <c r="G167" s="78" t="s">
        <v>11</v>
      </c>
      <c r="H167" s="73" t="s">
        <v>12</v>
      </c>
      <c r="I167" s="73" t="s">
        <v>214</v>
      </c>
      <c r="J167" s="73" t="s">
        <v>215</v>
      </c>
      <c r="K167" s="73" t="s">
        <v>216</v>
      </c>
      <c r="L167" s="73" t="s">
        <v>13</v>
      </c>
      <c r="M167" s="73" t="s">
        <v>210</v>
      </c>
      <c r="N167" s="112" t="s">
        <v>211</v>
      </c>
      <c r="O167" s="73" t="s">
        <v>15</v>
      </c>
    </row>
    <row r="168" spans="1:15" ht="0.95" customHeight="1">
      <c r="A168" s="81" t="s">
        <v>127</v>
      </c>
      <c r="B168" s="48" t="s">
        <v>226</v>
      </c>
      <c r="C168" s="81" t="s">
        <v>23</v>
      </c>
      <c r="D168" s="81" t="s">
        <v>90</v>
      </c>
      <c r="E168" s="594" t="s">
        <v>126</v>
      </c>
      <c r="F168" s="594"/>
      <c r="G168" s="47" t="s">
        <v>25</v>
      </c>
      <c r="H168" s="46">
        <v>1</v>
      </c>
      <c r="I168" s="45">
        <f>SUM(I170:I175)</f>
        <v>42.79</v>
      </c>
      <c r="J168" s="45">
        <f>SUM(J170:J175)</f>
        <v>0</v>
      </c>
      <c r="K168" s="45">
        <f>SUM(K170:K175)</f>
        <v>39.33</v>
      </c>
      <c r="L168" s="45">
        <f t="shared" ref="L168:O168" si="70">SUM(L170:L175)</f>
        <v>82.12</v>
      </c>
      <c r="M168" s="45">
        <f t="shared" si="70"/>
        <v>156.1</v>
      </c>
      <c r="N168" s="45">
        <f t="shared" si="70"/>
        <v>107.09</v>
      </c>
      <c r="O168" s="45">
        <f t="shared" si="70"/>
        <v>263.19</v>
      </c>
    </row>
    <row r="169" spans="1:15" s="428" customFormat="1" ht="24" customHeight="1">
      <c r="A169" s="429" t="s">
        <v>127</v>
      </c>
      <c r="B169" s="431" t="s">
        <v>226</v>
      </c>
      <c r="C169" s="429" t="s">
        <v>23</v>
      </c>
      <c r="D169" s="429" t="s">
        <v>90</v>
      </c>
      <c r="E169" s="594" t="s">
        <v>126</v>
      </c>
      <c r="F169" s="594"/>
      <c r="G169" s="430" t="s">
        <v>25</v>
      </c>
      <c r="H169" s="367">
        <v>1</v>
      </c>
      <c r="I169" s="432">
        <f t="shared" ref="I169:O169" si="71">SUM(I170:I175)</f>
        <v>42.79</v>
      </c>
      <c r="J169" s="432">
        <f t="shared" si="71"/>
        <v>0</v>
      </c>
      <c r="K169" s="432">
        <f t="shared" si="71"/>
        <v>39.33</v>
      </c>
      <c r="L169" s="432">
        <f t="shared" si="71"/>
        <v>82.12</v>
      </c>
      <c r="M169" s="432">
        <f t="shared" si="71"/>
        <v>156.1</v>
      </c>
      <c r="N169" s="432">
        <f t="shared" si="71"/>
        <v>107.09</v>
      </c>
      <c r="O169" s="432">
        <f t="shared" si="71"/>
        <v>263.19</v>
      </c>
    </row>
    <row r="170" spans="1:15" ht="29.25" customHeight="1">
      <c r="A170" s="80" t="s">
        <v>114</v>
      </c>
      <c r="B170" s="44" t="s">
        <v>125</v>
      </c>
      <c r="C170" s="80" t="s">
        <v>27</v>
      </c>
      <c r="D170" s="80" t="s">
        <v>124</v>
      </c>
      <c r="E170" s="591" t="s">
        <v>111</v>
      </c>
      <c r="F170" s="591"/>
      <c r="G170" s="43" t="s">
        <v>40</v>
      </c>
      <c r="H170" s="42">
        <v>17</v>
      </c>
      <c r="I170" s="41">
        <v>0</v>
      </c>
      <c r="J170" s="41">
        <v>0</v>
      </c>
      <c r="K170" s="41">
        <v>3.59</v>
      </c>
      <c r="L170" s="41">
        <f>SUM(I170:K170)</f>
        <v>3.59</v>
      </c>
      <c r="M170" s="41">
        <f>ROUND(I170*H170,2)</f>
        <v>0</v>
      </c>
      <c r="N170" s="41">
        <f>ROUND(SUM(J170:K170)*H170,2)</f>
        <v>61.03</v>
      </c>
      <c r="O170" s="41">
        <f>SUM(M170:N170)</f>
        <v>61.03</v>
      </c>
    </row>
    <row r="171" spans="1:15" ht="26.1" customHeight="1">
      <c r="A171" s="80" t="s">
        <v>114</v>
      </c>
      <c r="B171" s="44" t="s">
        <v>123</v>
      </c>
      <c r="C171" s="80" t="s">
        <v>27</v>
      </c>
      <c r="D171" s="80" t="s">
        <v>122</v>
      </c>
      <c r="E171" s="591" t="s">
        <v>117</v>
      </c>
      <c r="F171" s="591"/>
      <c r="G171" s="43" t="s">
        <v>29</v>
      </c>
      <c r="H171" s="42">
        <v>4</v>
      </c>
      <c r="I171" s="41">
        <v>27.73</v>
      </c>
      <c r="J171" s="41">
        <v>0</v>
      </c>
      <c r="K171" s="41">
        <v>0</v>
      </c>
      <c r="L171" s="41">
        <f t="shared" ref="L171:L175" si="72">SUM(I171:K171)</f>
        <v>27.73</v>
      </c>
      <c r="M171" s="41">
        <f t="shared" ref="M171:M175" si="73">ROUND(I171*H171,2)</f>
        <v>110.92</v>
      </c>
      <c r="N171" s="41">
        <f t="shared" ref="N171:N175" si="74">ROUND(SUM(J171:K171)*H171,2)</f>
        <v>0</v>
      </c>
      <c r="O171" s="41">
        <f t="shared" ref="O171:O175" si="75">SUM(M171:N171)</f>
        <v>110.92</v>
      </c>
    </row>
    <row r="172" spans="1:15" ht="26.1" customHeight="1">
      <c r="A172" s="80" t="s">
        <v>114</v>
      </c>
      <c r="B172" s="44" t="s">
        <v>121</v>
      </c>
      <c r="C172" s="80" t="s">
        <v>27</v>
      </c>
      <c r="D172" s="80" t="s">
        <v>120</v>
      </c>
      <c r="E172" s="591" t="s">
        <v>111</v>
      </c>
      <c r="F172" s="591"/>
      <c r="G172" s="43" t="s">
        <v>40</v>
      </c>
      <c r="H172" s="42">
        <v>9</v>
      </c>
      <c r="I172" s="41">
        <v>0</v>
      </c>
      <c r="J172" s="41">
        <v>0</v>
      </c>
      <c r="K172" s="41">
        <v>2.35</v>
      </c>
      <c r="L172" s="41">
        <f t="shared" si="72"/>
        <v>2.35</v>
      </c>
      <c r="M172" s="41">
        <f t="shared" si="73"/>
        <v>0</v>
      </c>
      <c r="N172" s="41">
        <f t="shared" si="74"/>
        <v>21.15</v>
      </c>
      <c r="O172" s="41">
        <f t="shared" si="75"/>
        <v>21.15</v>
      </c>
    </row>
    <row r="173" spans="1:15" ht="24" customHeight="1">
      <c r="A173" s="80" t="s">
        <v>114</v>
      </c>
      <c r="B173" s="44" t="s">
        <v>119</v>
      </c>
      <c r="C173" s="80" t="s">
        <v>27</v>
      </c>
      <c r="D173" s="80" t="s">
        <v>118</v>
      </c>
      <c r="E173" s="591" t="s">
        <v>117</v>
      </c>
      <c r="F173" s="591"/>
      <c r="G173" s="43" t="s">
        <v>29</v>
      </c>
      <c r="H173" s="42">
        <v>3</v>
      </c>
      <c r="I173" s="41">
        <v>15.06</v>
      </c>
      <c r="J173" s="41">
        <v>0</v>
      </c>
      <c r="K173" s="41">
        <v>0</v>
      </c>
      <c r="L173" s="41">
        <f t="shared" si="72"/>
        <v>15.06</v>
      </c>
      <c r="M173" s="41">
        <f t="shared" si="73"/>
        <v>45.18</v>
      </c>
      <c r="N173" s="41">
        <f t="shared" si="74"/>
        <v>0</v>
      </c>
      <c r="O173" s="41">
        <f t="shared" si="75"/>
        <v>45.18</v>
      </c>
    </row>
    <row r="174" spans="1:15" ht="24" customHeight="1">
      <c r="A174" s="80" t="s">
        <v>114</v>
      </c>
      <c r="B174" s="44" t="s">
        <v>116</v>
      </c>
      <c r="C174" s="80" t="s">
        <v>27</v>
      </c>
      <c r="D174" s="80" t="s">
        <v>115</v>
      </c>
      <c r="E174" s="591" t="s">
        <v>111</v>
      </c>
      <c r="F174" s="591"/>
      <c r="G174" s="43" t="s">
        <v>25</v>
      </c>
      <c r="H174" s="42">
        <v>1</v>
      </c>
      <c r="I174" s="41">
        <v>0</v>
      </c>
      <c r="J174" s="41">
        <v>0</v>
      </c>
      <c r="K174" s="41">
        <v>23.41</v>
      </c>
      <c r="L174" s="41">
        <f t="shared" si="72"/>
        <v>23.41</v>
      </c>
      <c r="M174" s="41">
        <f t="shared" si="73"/>
        <v>0</v>
      </c>
      <c r="N174" s="41">
        <f t="shared" si="74"/>
        <v>23.41</v>
      </c>
      <c r="O174" s="41">
        <f t="shared" si="75"/>
        <v>23.41</v>
      </c>
    </row>
    <row r="175" spans="1:15" ht="39" customHeight="1">
      <c r="A175" s="80" t="s">
        <v>114</v>
      </c>
      <c r="B175" s="44" t="s">
        <v>113</v>
      </c>
      <c r="C175" s="80" t="s">
        <v>27</v>
      </c>
      <c r="D175" s="80" t="s">
        <v>112</v>
      </c>
      <c r="E175" s="591" t="s">
        <v>111</v>
      </c>
      <c r="F175" s="591"/>
      <c r="G175" s="43" t="s">
        <v>25</v>
      </c>
      <c r="H175" s="42">
        <v>0.15</v>
      </c>
      <c r="I175" s="41">
        <v>0</v>
      </c>
      <c r="J175" s="41">
        <v>0</v>
      </c>
      <c r="K175" s="41">
        <v>9.98</v>
      </c>
      <c r="L175" s="41">
        <f t="shared" si="72"/>
        <v>9.98</v>
      </c>
      <c r="M175" s="41">
        <f t="shared" si="73"/>
        <v>0</v>
      </c>
      <c r="N175" s="41">
        <f t="shared" si="74"/>
        <v>1.5</v>
      </c>
      <c r="O175" s="41">
        <f t="shared" si="75"/>
        <v>1.5</v>
      </c>
    </row>
    <row r="176" spans="1:15" ht="26.1" customHeight="1">
      <c r="A176" s="83"/>
      <c r="B176" s="83"/>
      <c r="C176" s="83"/>
      <c r="D176" s="83"/>
      <c r="E176" s="83"/>
      <c r="F176" s="40"/>
      <c r="G176" s="83"/>
      <c r="H176" s="40"/>
      <c r="I176" s="40"/>
      <c r="J176" s="40"/>
      <c r="K176" s="40"/>
      <c r="L176" s="83"/>
      <c r="M176" s="83"/>
      <c r="N176" s="83"/>
      <c r="O176" s="40"/>
    </row>
    <row r="177" spans="1:15">
      <c r="A177" s="208"/>
      <c r="B177" s="208"/>
      <c r="C177" s="208"/>
      <c r="D177" s="208"/>
      <c r="E177" s="208"/>
      <c r="F177" s="180"/>
      <c r="G177" s="208"/>
      <c r="H177" s="180"/>
      <c r="I177" s="180"/>
      <c r="J177" s="180"/>
      <c r="K177" s="180"/>
      <c r="L177" s="208"/>
      <c r="M177" s="208"/>
      <c r="N177" s="208"/>
      <c r="O177" s="180"/>
    </row>
    <row r="178" spans="1:15" s="207" customFormat="1" ht="45">
      <c r="A178" s="205" t="s">
        <v>280</v>
      </c>
      <c r="B178" s="206" t="s">
        <v>8</v>
      </c>
      <c r="C178" s="205" t="s">
        <v>9</v>
      </c>
      <c r="D178" s="205" t="s">
        <v>10</v>
      </c>
      <c r="E178" s="592" t="s">
        <v>128</v>
      </c>
      <c r="F178" s="593"/>
      <c r="G178" s="204" t="s">
        <v>11</v>
      </c>
      <c r="H178" s="206" t="s">
        <v>12</v>
      </c>
      <c r="I178" s="206" t="s">
        <v>214</v>
      </c>
      <c r="J178" s="206" t="s">
        <v>215</v>
      </c>
      <c r="K178" s="206" t="s">
        <v>216</v>
      </c>
      <c r="L178" s="206" t="s">
        <v>13</v>
      </c>
      <c r="M178" s="206" t="s">
        <v>210</v>
      </c>
      <c r="N178" s="112" t="s">
        <v>211</v>
      </c>
      <c r="O178" s="206" t="s">
        <v>15</v>
      </c>
    </row>
    <row r="179" spans="1:15" s="207" customFormat="1">
      <c r="A179" s="215" t="s">
        <v>127</v>
      </c>
      <c r="B179" s="217" t="s">
        <v>343</v>
      </c>
      <c r="C179" s="215" t="s">
        <v>23</v>
      </c>
      <c r="D179" s="215" t="s">
        <v>341</v>
      </c>
      <c r="E179" s="594" t="s">
        <v>126</v>
      </c>
      <c r="F179" s="594"/>
      <c r="G179" s="216" t="s">
        <v>25</v>
      </c>
      <c r="H179" s="218">
        <v>1</v>
      </c>
      <c r="I179" s="212">
        <f t="shared" ref="I179:N179" si="76">SUM(I180:I182)</f>
        <v>49.87</v>
      </c>
      <c r="J179" s="212">
        <f t="shared" si="76"/>
        <v>4</v>
      </c>
      <c r="K179" s="212">
        <f t="shared" si="76"/>
        <v>1739.43</v>
      </c>
      <c r="L179" s="212">
        <f t="shared" si="76"/>
        <v>1793.3000000000002</v>
      </c>
      <c r="M179" s="212">
        <f>SUM(M180:M182)</f>
        <v>99.74</v>
      </c>
      <c r="N179" s="212">
        <f t="shared" si="76"/>
        <v>1750.97</v>
      </c>
      <c r="O179" s="212">
        <f>SUM(O180:O182)</f>
        <v>1850.71</v>
      </c>
    </row>
    <row r="180" spans="1:15" s="207" customFormat="1" ht="14.25" customHeight="1">
      <c r="A180" s="219" t="s">
        <v>147</v>
      </c>
      <c r="B180" s="221" t="s">
        <v>149</v>
      </c>
      <c r="C180" s="219" t="s">
        <v>27</v>
      </c>
      <c r="D180" s="219" t="s">
        <v>148</v>
      </c>
      <c r="E180" s="590" t="s">
        <v>144</v>
      </c>
      <c r="F180" s="590"/>
      <c r="G180" s="220" t="s">
        <v>29</v>
      </c>
      <c r="H180" s="222">
        <v>2</v>
      </c>
      <c r="I180" s="177">
        <v>28.81</v>
      </c>
      <c r="J180" s="177">
        <v>2</v>
      </c>
      <c r="K180" s="177">
        <v>1.77</v>
      </c>
      <c r="L180" s="177">
        <f>SUM(I180:K180)</f>
        <v>32.58</v>
      </c>
      <c r="M180" s="177">
        <f>ROUND(I180*H180,2)</f>
        <v>57.62</v>
      </c>
      <c r="N180" s="177">
        <f>ROUND(SUM(J180:K180)*H180,2)</f>
        <v>7.54</v>
      </c>
      <c r="O180" s="177">
        <f>SUM(M180:N180)</f>
        <v>65.16</v>
      </c>
    </row>
    <row r="181" spans="1:15" s="207" customFormat="1" ht="25.5">
      <c r="A181" s="219" t="s">
        <v>147</v>
      </c>
      <c r="B181" s="221" t="s">
        <v>146</v>
      </c>
      <c r="C181" s="219" t="s">
        <v>27</v>
      </c>
      <c r="D181" s="219" t="s">
        <v>145</v>
      </c>
      <c r="E181" s="590" t="s">
        <v>144</v>
      </c>
      <c r="F181" s="590"/>
      <c r="G181" s="220" t="s">
        <v>29</v>
      </c>
      <c r="H181" s="222">
        <v>2</v>
      </c>
      <c r="I181" s="177">
        <v>21.06</v>
      </c>
      <c r="J181" s="177">
        <v>2</v>
      </c>
      <c r="K181" s="177">
        <v>1.77</v>
      </c>
      <c r="L181" s="177">
        <f t="shared" ref="L181:L182" si="77">SUM(I181:K181)</f>
        <v>24.83</v>
      </c>
      <c r="M181" s="177">
        <f t="shared" ref="M181:M182" si="78">ROUND(I181*H181,2)</f>
        <v>42.12</v>
      </c>
      <c r="N181" s="177">
        <f t="shared" ref="N181:N182" si="79">ROUND(SUM(J181:K181)*H181,2)</f>
        <v>7.54</v>
      </c>
      <c r="O181" s="177">
        <f t="shared" ref="O181:O182" si="80">SUM(M181:N181)</f>
        <v>49.66</v>
      </c>
    </row>
    <row r="182" spans="1:15" s="207" customFormat="1">
      <c r="A182" s="223" t="s">
        <v>114</v>
      </c>
      <c r="B182" s="225" t="s">
        <v>342</v>
      </c>
      <c r="C182" s="223" t="s">
        <v>332</v>
      </c>
      <c r="D182" s="223" t="s">
        <v>341</v>
      </c>
      <c r="E182" s="591" t="s">
        <v>111</v>
      </c>
      <c r="F182" s="591"/>
      <c r="G182" s="224" t="s">
        <v>25</v>
      </c>
      <c r="H182" s="226">
        <v>1</v>
      </c>
      <c r="I182" s="178">
        <v>0</v>
      </c>
      <c r="J182" s="178">
        <v>0</v>
      </c>
      <c r="K182" s="178">
        <v>1735.89</v>
      </c>
      <c r="L182" s="178">
        <f t="shared" si="77"/>
        <v>1735.89</v>
      </c>
      <c r="M182" s="178">
        <f t="shared" si="78"/>
        <v>0</v>
      </c>
      <c r="N182" s="178">
        <f t="shared" si="79"/>
        <v>1735.89</v>
      </c>
      <c r="O182" s="178">
        <f t="shared" si="80"/>
        <v>1735.89</v>
      </c>
    </row>
    <row r="183" spans="1:15" s="207" customFormat="1">
      <c r="A183" s="208"/>
      <c r="B183" s="208"/>
      <c r="C183" s="208"/>
      <c r="D183" s="208"/>
      <c r="E183" s="208"/>
      <c r="F183" s="180"/>
      <c r="G183" s="208"/>
      <c r="H183" s="180"/>
      <c r="I183" s="180"/>
      <c r="J183" s="180"/>
      <c r="K183" s="180"/>
      <c r="L183" s="208"/>
      <c r="M183" s="208"/>
      <c r="N183" s="208"/>
      <c r="O183" s="180"/>
    </row>
    <row r="184" spans="1:15" s="207" customFormat="1">
      <c r="A184" s="362"/>
      <c r="B184" s="362"/>
      <c r="C184" s="362"/>
      <c r="D184" s="362"/>
      <c r="E184" s="362"/>
      <c r="F184" s="180"/>
      <c r="G184" s="362"/>
      <c r="H184" s="180"/>
      <c r="I184" s="180"/>
      <c r="J184" s="180"/>
      <c r="K184" s="180"/>
      <c r="L184" s="362"/>
      <c r="M184" s="362"/>
      <c r="N184" s="362"/>
      <c r="O184" s="180"/>
    </row>
    <row r="185" spans="1:15" s="358" customFormat="1" ht="45">
      <c r="A185" s="356" t="s">
        <v>309</v>
      </c>
      <c r="B185" s="357" t="s">
        <v>8</v>
      </c>
      <c r="C185" s="356" t="s">
        <v>9</v>
      </c>
      <c r="D185" s="356" t="s">
        <v>10</v>
      </c>
      <c r="E185" s="592" t="s">
        <v>128</v>
      </c>
      <c r="F185" s="593"/>
      <c r="G185" s="355" t="s">
        <v>11</v>
      </c>
      <c r="H185" s="357" t="s">
        <v>12</v>
      </c>
      <c r="I185" s="357" t="s">
        <v>214</v>
      </c>
      <c r="J185" s="357" t="s">
        <v>215</v>
      </c>
      <c r="K185" s="357" t="s">
        <v>216</v>
      </c>
      <c r="L185" s="357" t="s">
        <v>13</v>
      </c>
      <c r="M185" s="357" t="s">
        <v>210</v>
      </c>
      <c r="N185" s="112" t="s">
        <v>211</v>
      </c>
      <c r="O185" s="357" t="s">
        <v>15</v>
      </c>
    </row>
    <row r="186" spans="1:15" s="358" customFormat="1">
      <c r="A186" s="361" t="s">
        <v>127</v>
      </c>
      <c r="B186" s="349" t="s">
        <v>344</v>
      </c>
      <c r="C186" s="361" t="s">
        <v>23</v>
      </c>
      <c r="D186" s="361" t="s">
        <v>300</v>
      </c>
      <c r="E186" s="594" t="s">
        <v>126</v>
      </c>
      <c r="F186" s="594"/>
      <c r="G186" s="348" t="s">
        <v>40</v>
      </c>
      <c r="H186" s="338">
        <v>1</v>
      </c>
      <c r="I186" s="352">
        <f>SUM(I187:I190)</f>
        <v>44.2</v>
      </c>
      <c r="J186" s="352">
        <f t="shared" ref="J186:O186" si="81">SUM(J187:J190)</f>
        <v>3.84</v>
      </c>
      <c r="K186" s="352">
        <f>SUM(K187:K190)</f>
        <v>51.81</v>
      </c>
      <c r="L186" s="352">
        <f t="shared" si="81"/>
        <v>99.85</v>
      </c>
      <c r="M186" s="352">
        <f t="shared" si="81"/>
        <v>13.260000000000002</v>
      </c>
      <c r="N186" s="352">
        <f t="shared" si="81"/>
        <v>54.17</v>
      </c>
      <c r="O186" s="352">
        <f t="shared" si="81"/>
        <v>67.430000000000007</v>
      </c>
    </row>
    <row r="187" spans="1:15" s="358" customFormat="1" ht="14.25" customHeight="1">
      <c r="A187" s="359" t="s">
        <v>147</v>
      </c>
      <c r="B187" s="341" t="s">
        <v>149</v>
      </c>
      <c r="C187" s="359" t="s">
        <v>27</v>
      </c>
      <c r="D187" s="359" t="s">
        <v>148</v>
      </c>
      <c r="E187" s="590" t="s">
        <v>144</v>
      </c>
      <c r="F187" s="590"/>
      <c r="G187" s="340" t="s">
        <v>29</v>
      </c>
      <c r="H187" s="342">
        <v>0.3</v>
      </c>
      <c r="I187" s="274">
        <v>28.81</v>
      </c>
      <c r="J187" s="274">
        <v>2</v>
      </c>
      <c r="K187" s="274">
        <v>1.77</v>
      </c>
      <c r="L187" s="274">
        <f>SUM(I187:K187)</f>
        <v>32.58</v>
      </c>
      <c r="M187" s="274">
        <f>ROUND(I187*H187,2)</f>
        <v>8.64</v>
      </c>
      <c r="N187" s="274">
        <f>ROUND(SUM(J187:K187)*H187,2)</f>
        <v>1.1299999999999999</v>
      </c>
      <c r="O187" s="274">
        <f>SUM(M187:N187)</f>
        <v>9.77</v>
      </c>
    </row>
    <row r="188" spans="1:15" s="358" customFormat="1" ht="25.5">
      <c r="A188" s="359" t="s">
        <v>147</v>
      </c>
      <c r="B188" s="341" t="s">
        <v>156</v>
      </c>
      <c r="C188" s="359" t="s">
        <v>27</v>
      </c>
      <c r="D188" s="359" t="s">
        <v>155</v>
      </c>
      <c r="E188" s="590" t="s">
        <v>144</v>
      </c>
      <c r="F188" s="590"/>
      <c r="G188" s="340" t="s">
        <v>29</v>
      </c>
      <c r="H188" s="342">
        <v>0.3</v>
      </c>
      <c r="I188" s="274">
        <v>15.39</v>
      </c>
      <c r="J188" s="274">
        <v>1.84</v>
      </c>
      <c r="K188" s="274">
        <v>1.77</v>
      </c>
      <c r="L188" s="274">
        <f t="shared" ref="L188:L190" si="82">SUM(I188:K188)</f>
        <v>19</v>
      </c>
      <c r="M188" s="274">
        <f t="shared" ref="M188:M190" si="83">ROUND(I188*H188,2)</f>
        <v>4.62</v>
      </c>
      <c r="N188" s="274">
        <f t="shared" ref="N188:N190" si="84">ROUND(SUM(J188:K188)*H188,2)</f>
        <v>1.08</v>
      </c>
      <c r="O188" s="274">
        <f t="shared" ref="O188:O190" si="85">SUM(M188:N188)</f>
        <v>5.7</v>
      </c>
    </row>
    <row r="189" spans="1:15" s="358" customFormat="1" ht="25.5">
      <c r="A189" s="360" t="s">
        <v>114</v>
      </c>
      <c r="B189" s="345" t="s">
        <v>301</v>
      </c>
      <c r="C189" s="360" t="s">
        <v>27</v>
      </c>
      <c r="D189" s="360" t="s">
        <v>302</v>
      </c>
      <c r="E189" s="591" t="s">
        <v>111</v>
      </c>
      <c r="F189" s="591"/>
      <c r="G189" s="344" t="s">
        <v>25</v>
      </c>
      <c r="H189" s="346">
        <v>10</v>
      </c>
      <c r="I189" s="279">
        <v>0</v>
      </c>
      <c r="J189" s="279">
        <v>0</v>
      </c>
      <c r="K189" s="279">
        <v>0.41</v>
      </c>
      <c r="L189" s="279">
        <f t="shared" si="82"/>
        <v>0.41</v>
      </c>
      <c r="M189" s="279">
        <f t="shared" si="83"/>
        <v>0</v>
      </c>
      <c r="N189" s="279">
        <f t="shared" si="84"/>
        <v>4.0999999999999996</v>
      </c>
      <c r="O189" s="279">
        <f t="shared" si="85"/>
        <v>4.0999999999999996</v>
      </c>
    </row>
    <row r="190" spans="1:15" s="358" customFormat="1">
      <c r="A190" s="360" t="s">
        <v>114</v>
      </c>
      <c r="B190" s="345" t="s">
        <v>303</v>
      </c>
      <c r="C190" s="360" t="s">
        <v>332</v>
      </c>
      <c r="D190" s="360" t="s">
        <v>304</v>
      </c>
      <c r="E190" s="591" t="s">
        <v>111</v>
      </c>
      <c r="F190" s="591"/>
      <c r="G190" s="344" t="s">
        <v>305</v>
      </c>
      <c r="H190" s="346">
        <v>1</v>
      </c>
      <c r="I190" s="279">
        <v>0</v>
      </c>
      <c r="J190" s="279">
        <v>0</v>
      </c>
      <c r="K190" s="279">
        <v>47.86</v>
      </c>
      <c r="L190" s="279">
        <f t="shared" si="82"/>
        <v>47.86</v>
      </c>
      <c r="M190" s="279">
        <f t="shared" si="83"/>
        <v>0</v>
      </c>
      <c r="N190" s="279">
        <f t="shared" si="84"/>
        <v>47.86</v>
      </c>
      <c r="O190" s="279">
        <f t="shared" si="85"/>
        <v>47.86</v>
      </c>
    </row>
    <row r="191" spans="1:15" s="358" customFormat="1">
      <c r="A191" s="362"/>
      <c r="B191" s="362"/>
      <c r="C191" s="362"/>
      <c r="D191" s="362"/>
      <c r="E191" s="362"/>
      <c r="F191" s="180"/>
      <c r="G191" s="362"/>
      <c r="H191" s="180"/>
      <c r="I191" s="180"/>
      <c r="J191" s="180"/>
      <c r="K191" s="180"/>
      <c r="L191" s="362"/>
      <c r="M191" s="362"/>
      <c r="N191" s="362"/>
      <c r="O191" s="180"/>
    </row>
    <row r="192" spans="1:15" s="358" customFormat="1">
      <c r="A192" s="424"/>
      <c r="B192" s="424"/>
      <c r="C192" s="424"/>
      <c r="D192" s="424"/>
      <c r="E192" s="424"/>
      <c r="F192" s="180"/>
      <c r="G192" s="424"/>
      <c r="H192" s="180"/>
      <c r="I192" s="180"/>
      <c r="J192" s="180"/>
      <c r="K192" s="180"/>
      <c r="L192" s="424"/>
      <c r="M192" s="424"/>
      <c r="N192" s="424"/>
      <c r="O192" s="180"/>
    </row>
    <row r="193" spans="1:15" s="428" customFormat="1" ht="45">
      <c r="A193" s="419" t="s">
        <v>556</v>
      </c>
      <c r="B193" s="420" t="s">
        <v>8</v>
      </c>
      <c r="C193" s="419" t="s">
        <v>9</v>
      </c>
      <c r="D193" s="419" t="s">
        <v>10</v>
      </c>
      <c r="E193" s="592" t="s">
        <v>128</v>
      </c>
      <c r="F193" s="593"/>
      <c r="G193" s="421" t="s">
        <v>11</v>
      </c>
      <c r="H193" s="420" t="s">
        <v>12</v>
      </c>
      <c r="I193" s="420" t="s">
        <v>214</v>
      </c>
      <c r="J193" s="420" t="s">
        <v>215</v>
      </c>
      <c r="K193" s="420" t="s">
        <v>216</v>
      </c>
      <c r="L193" s="420" t="s">
        <v>13</v>
      </c>
      <c r="M193" s="420" t="s">
        <v>210</v>
      </c>
      <c r="N193" s="112" t="s">
        <v>211</v>
      </c>
      <c r="O193" s="420" t="s">
        <v>15</v>
      </c>
    </row>
    <row r="194" spans="1:15" s="428" customFormat="1">
      <c r="A194" s="435" t="s">
        <v>127</v>
      </c>
      <c r="B194" s="437" t="s">
        <v>559</v>
      </c>
      <c r="C194" s="435" t="s">
        <v>23</v>
      </c>
      <c r="D194" s="435" t="s">
        <v>560</v>
      </c>
      <c r="E194" s="594" t="s">
        <v>126</v>
      </c>
      <c r="F194" s="594"/>
      <c r="G194" s="436" t="s">
        <v>25</v>
      </c>
      <c r="H194" s="438">
        <v>1</v>
      </c>
      <c r="I194" s="432">
        <f t="shared" ref="I194:L194" si="86">SUM(I195:I197)</f>
        <v>44.2</v>
      </c>
      <c r="J194" s="432">
        <f t="shared" si="86"/>
        <v>3.84</v>
      </c>
      <c r="K194" s="432">
        <f t="shared" si="86"/>
        <v>997.18</v>
      </c>
      <c r="L194" s="432">
        <f t="shared" si="86"/>
        <v>1045.22</v>
      </c>
      <c r="M194" s="432">
        <f>SUM(M195:M197)</f>
        <v>25.46</v>
      </c>
      <c r="N194" s="432">
        <f>SUM(N195:N197)</f>
        <v>997.37</v>
      </c>
      <c r="O194" s="432">
        <f>SUM(O195:O197)</f>
        <v>1022.8299999999999</v>
      </c>
    </row>
    <row r="195" spans="1:15" s="428" customFormat="1" ht="25.5">
      <c r="A195" s="439" t="s">
        <v>147</v>
      </c>
      <c r="B195" s="441" t="s">
        <v>156</v>
      </c>
      <c r="C195" s="439" t="s">
        <v>27</v>
      </c>
      <c r="D195" s="439" t="s">
        <v>155</v>
      </c>
      <c r="E195" s="590" t="s">
        <v>144</v>
      </c>
      <c r="F195" s="590"/>
      <c r="G195" s="440" t="s">
        <v>29</v>
      </c>
      <c r="H195" s="442">
        <v>0.25</v>
      </c>
      <c r="I195" s="370">
        <v>15.39</v>
      </c>
      <c r="J195" s="370">
        <v>1.84</v>
      </c>
      <c r="K195" s="370">
        <v>1.77</v>
      </c>
      <c r="L195" s="370">
        <f>SUM(I195:K195)</f>
        <v>19</v>
      </c>
      <c r="M195" s="370">
        <f>ROUND(I195*H195,2)</f>
        <v>3.85</v>
      </c>
      <c r="N195" s="370">
        <f>ROUND(SUM(J195:K195)*H195,2)</f>
        <v>0.9</v>
      </c>
      <c r="O195" s="370">
        <f>SUM(M195:N195)</f>
        <v>4.75</v>
      </c>
    </row>
    <row r="196" spans="1:15" s="428" customFormat="1" ht="25.5">
      <c r="A196" s="439" t="s">
        <v>147</v>
      </c>
      <c r="B196" s="441" t="s">
        <v>149</v>
      </c>
      <c r="C196" s="439" t="s">
        <v>27</v>
      </c>
      <c r="D196" s="439" t="s">
        <v>148</v>
      </c>
      <c r="E196" s="590" t="s">
        <v>144</v>
      </c>
      <c r="F196" s="590"/>
      <c r="G196" s="440" t="s">
        <v>29</v>
      </c>
      <c r="H196" s="442">
        <v>0.75</v>
      </c>
      <c r="I196" s="370">
        <v>28.81</v>
      </c>
      <c r="J196" s="370">
        <v>2</v>
      </c>
      <c r="K196" s="370">
        <v>1.77</v>
      </c>
      <c r="L196" s="370">
        <f t="shared" ref="L196:L197" si="87">SUM(I196:K196)</f>
        <v>32.58</v>
      </c>
      <c r="M196" s="370">
        <f t="shared" ref="M196:M197" si="88">ROUND(I196*H196,2)</f>
        <v>21.61</v>
      </c>
      <c r="N196" s="370">
        <f t="shared" ref="N196:N197" si="89">ROUND(SUM(J196:K196)*H196,2)</f>
        <v>2.83</v>
      </c>
      <c r="O196" s="370">
        <f t="shared" ref="O196:O197" si="90">SUM(M196:N196)</f>
        <v>24.439999999999998</v>
      </c>
    </row>
    <row r="197" spans="1:15" s="428" customFormat="1">
      <c r="A197" s="443" t="s">
        <v>114</v>
      </c>
      <c r="B197" s="445" t="s">
        <v>561</v>
      </c>
      <c r="C197" s="443" t="s">
        <v>332</v>
      </c>
      <c r="D197" s="443" t="s">
        <v>562</v>
      </c>
      <c r="E197" s="591" t="s">
        <v>111</v>
      </c>
      <c r="F197" s="591"/>
      <c r="G197" s="444" t="s">
        <v>25</v>
      </c>
      <c r="H197" s="446">
        <v>1</v>
      </c>
      <c r="I197" s="374">
        <v>0</v>
      </c>
      <c r="J197" s="374">
        <v>0</v>
      </c>
      <c r="K197" s="374">
        <v>993.64</v>
      </c>
      <c r="L197" s="374">
        <f t="shared" si="87"/>
        <v>993.64</v>
      </c>
      <c r="M197" s="374">
        <f t="shared" si="88"/>
        <v>0</v>
      </c>
      <c r="N197" s="374">
        <f t="shared" si="89"/>
        <v>993.64</v>
      </c>
      <c r="O197" s="374">
        <f t="shared" si="90"/>
        <v>993.64</v>
      </c>
    </row>
    <row r="198" spans="1:15" s="428" customFormat="1">
      <c r="A198" s="418"/>
      <c r="B198" s="418"/>
      <c r="C198" s="418"/>
      <c r="D198" s="418"/>
      <c r="E198" s="418"/>
      <c r="F198" s="180"/>
      <c r="G198" s="418"/>
      <c r="H198" s="180"/>
      <c r="I198" s="180"/>
      <c r="J198" s="180"/>
      <c r="K198" s="180"/>
      <c r="L198" s="418"/>
      <c r="M198" s="418"/>
      <c r="N198" s="418"/>
      <c r="O198" s="180"/>
    </row>
    <row r="199" spans="1:15" s="428" customFormat="1">
      <c r="A199" s="418"/>
      <c r="B199" s="418"/>
      <c r="C199" s="418"/>
      <c r="D199" s="418"/>
      <c r="E199" s="418"/>
      <c r="F199" s="180"/>
      <c r="G199" s="418"/>
      <c r="H199" s="180"/>
      <c r="I199" s="180"/>
      <c r="J199" s="180"/>
      <c r="K199" s="180"/>
      <c r="L199" s="418"/>
      <c r="M199" s="418"/>
      <c r="N199" s="418"/>
      <c r="O199" s="180"/>
    </row>
    <row r="200" spans="1:15" s="428" customFormat="1" ht="45">
      <c r="A200" s="419" t="s">
        <v>557</v>
      </c>
      <c r="B200" s="420" t="s">
        <v>8</v>
      </c>
      <c r="C200" s="419" t="s">
        <v>9</v>
      </c>
      <c r="D200" s="419" t="s">
        <v>10</v>
      </c>
      <c r="E200" s="592" t="s">
        <v>128</v>
      </c>
      <c r="F200" s="593"/>
      <c r="G200" s="421" t="s">
        <v>11</v>
      </c>
      <c r="H200" s="420" t="s">
        <v>12</v>
      </c>
      <c r="I200" s="420" t="s">
        <v>214</v>
      </c>
      <c r="J200" s="420" t="s">
        <v>215</v>
      </c>
      <c r="K200" s="420" t="s">
        <v>216</v>
      </c>
      <c r="L200" s="420" t="s">
        <v>13</v>
      </c>
      <c r="M200" s="420" t="s">
        <v>210</v>
      </c>
      <c r="N200" s="112" t="s">
        <v>211</v>
      </c>
      <c r="O200" s="420" t="s">
        <v>15</v>
      </c>
    </row>
    <row r="201" spans="1:15" s="428" customFormat="1" ht="44.25" customHeight="1">
      <c r="A201" s="452" t="s">
        <v>127</v>
      </c>
      <c r="B201" s="454" t="s">
        <v>563</v>
      </c>
      <c r="C201" s="452" t="s">
        <v>23</v>
      </c>
      <c r="D201" s="452" t="s">
        <v>564</v>
      </c>
      <c r="E201" s="594" t="s">
        <v>126</v>
      </c>
      <c r="F201" s="594"/>
      <c r="G201" s="453" t="s">
        <v>25</v>
      </c>
      <c r="H201" s="438">
        <v>1</v>
      </c>
      <c r="I201" s="432">
        <f t="shared" ref="I201:O201" si="91">SUM(I202:I204)</f>
        <v>49.87</v>
      </c>
      <c r="J201" s="432">
        <f t="shared" si="91"/>
        <v>4</v>
      </c>
      <c r="K201" s="432">
        <f t="shared" si="91"/>
        <v>68.73</v>
      </c>
      <c r="L201" s="432">
        <f t="shared" si="91"/>
        <v>122.6</v>
      </c>
      <c r="M201" s="432">
        <f t="shared" si="91"/>
        <v>44.879999999999995</v>
      </c>
      <c r="N201" s="432">
        <f t="shared" si="91"/>
        <v>71.97</v>
      </c>
      <c r="O201" s="432">
        <f t="shared" si="91"/>
        <v>116.85</v>
      </c>
    </row>
    <row r="202" spans="1:15" s="428" customFormat="1" ht="25.5">
      <c r="A202" s="439" t="s">
        <v>147</v>
      </c>
      <c r="B202" s="441" t="s">
        <v>149</v>
      </c>
      <c r="C202" s="439" t="s">
        <v>27</v>
      </c>
      <c r="D202" s="439" t="s">
        <v>148</v>
      </c>
      <c r="E202" s="590" t="s">
        <v>144</v>
      </c>
      <c r="F202" s="590"/>
      <c r="G202" s="440" t="s">
        <v>29</v>
      </c>
      <c r="H202" s="442">
        <v>0.9</v>
      </c>
      <c r="I202" s="370">
        <v>28.81</v>
      </c>
      <c r="J202" s="370">
        <v>2</v>
      </c>
      <c r="K202" s="370">
        <v>1.77</v>
      </c>
      <c r="L202" s="370">
        <f>SUM(I202:K202)</f>
        <v>32.58</v>
      </c>
      <c r="M202" s="370">
        <f>ROUND(I202*H202,2)</f>
        <v>25.93</v>
      </c>
      <c r="N202" s="370">
        <f>ROUND(SUM(J202:K202)*H202,2)</f>
        <v>3.39</v>
      </c>
      <c r="O202" s="370">
        <f>SUM(M202:N202)</f>
        <v>29.32</v>
      </c>
    </row>
    <row r="203" spans="1:15" s="428" customFormat="1" ht="25.5">
      <c r="A203" s="439" t="s">
        <v>147</v>
      </c>
      <c r="B203" s="441" t="s">
        <v>146</v>
      </c>
      <c r="C203" s="439" t="s">
        <v>27</v>
      </c>
      <c r="D203" s="439" t="s">
        <v>145</v>
      </c>
      <c r="E203" s="590" t="s">
        <v>144</v>
      </c>
      <c r="F203" s="590"/>
      <c r="G203" s="440" t="s">
        <v>29</v>
      </c>
      <c r="H203" s="442">
        <v>0.9</v>
      </c>
      <c r="I203" s="370">
        <v>21.06</v>
      </c>
      <c r="J203" s="370">
        <v>2</v>
      </c>
      <c r="K203" s="370">
        <v>1.77</v>
      </c>
      <c r="L203" s="370">
        <f t="shared" ref="L203:L204" si="92">SUM(I203:K203)</f>
        <v>24.83</v>
      </c>
      <c r="M203" s="370">
        <f t="shared" ref="M203:M204" si="93">ROUND(I203*H203,2)</f>
        <v>18.95</v>
      </c>
      <c r="N203" s="370">
        <f t="shared" ref="N203:N204" si="94">ROUND(SUM(J203:K203)*H203,2)</f>
        <v>3.39</v>
      </c>
      <c r="O203" s="370">
        <f t="shared" ref="O203:O204" si="95">SUM(M203:N203)</f>
        <v>22.34</v>
      </c>
    </row>
    <row r="204" spans="1:15" s="428" customFormat="1" ht="25.5">
      <c r="A204" s="443" t="s">
        <v>114</v>
      </c>
      <c r="B204" s="445" t="s">
        <v>567</v>
      </c>
      <c r="C204" s="443" t="s">
        <v>27</v>
      </c>
      <c r="D204" s="443" t="s">
        <v>568</v>
      </c>
      <c r="E204" s="591" t="s">
        <v>111</v>
      </c>
      <c r="F204" s="591"/>
      <c r="G204" s="444" t="s">
        <v>25</v>
      </c>
      <c r="H204" s="446">
        <v>1</v>
      </c>
      <c r="I204" s="374">
        <v>0</v>
      </c>
      <c r="J204" s="374">
        <v>0</v>
      </c>
      <c r="K204" s="374">
        <v>65.19</v>
      </c>
      <c r="L204" s="374">
        <f t="shared" si="92"/>
        <v>65.19</v>
      </c>
      <c r="M204" s="374">
        <f t="shared" si="93"/>
        <v>0</v>
      </c>
      <c r="N204" s="374">
        <f t="shared" si="94"/>
        <v>65.19</v>
      </c>
      <c r="O204" s="374">
        <f t="shared" si="95"/>
        <v>65.19</v>
      </c>
    </row>
    <row r="205" spans="1:15" s="428" customFormat="1">
      <c r="A205" s="418"/>
      <c r="B205" s="418"/>
      <c r="C205" s="418"/>
      <c r="D205" s="418"/>
      <c r="E205" s="418"/>
      <c r="F205" s="180"/>
      <c r="G205" s="418"/>
      <c r="H205" s="180"/>
      <c r="I205" s="180"/>
      <c r="J205" s="180"/>
      <c r="K205" s="180"/>
      <c r="L205" s="418"/>
      <c r="M205" s="418"/>
      <c r="N205" s="418"/>
      <c r="O205" s="180"/>
    </row>
    <row r="206" spans="1:15" s="428" customFormat="1">
      <c r="A206" s="418"/>
      <c r="B206" s="418"/>
      <c r="C206" s="418"/>
      <c r="D206" s="418"/>
      <c r="E206" s="418"/>
      <c r="F206" s="180"/>
      <c r="G206" s="418"/>
      <c r="H206" s="180"/>
      <c r="I206" s="180"/>
      <c r="J206" s="180"/>
      <c r="K206" s="180"/>
      <c r="L206" s="418"/>
      <c r="M206" s="418"/>
      <c r="N206" s="418"/>
      <c r="O206" s="180"/>
    </row>
    <row r="207" spans="1:15" s="428" customFormat="1" ht="45">
      <c r="A207" s="419" t="s">
        <v>558</v>
      </c>
      <c r="B207" s="420" t="s">
        <v>8</v>
      </c>
      <c r="C207" s="419" t="s">
        <v>9</v>
      </c>
      <c r="D207" s="419" t="s">
        <v>10</v>
      </c>
      <c r="E207" s="592" t="s">
        <v>128</v>
      </c>
      <c r="F207" s="593"/>
      <c r="G207" s="421" t="s">
        <v>11</v>
      </c>
      <c r="H207" s="420" t="s">
        <v>12</v>
      </c>
      <c r="I207" s="420" t="s">
        <v>214</v>
      </c>
      <c r="J207" s="420" t="s">
        <v>215</v>
      </c>
      <c r="K207" s="420" t="s">
        <v>216</v>
      </c>
      <c r="L207" s="420" t="s">
        <v>13</v>
      </c>
      <c r="M207" s="420" t="s">
        <v>210</v>
      </c>
      <c r="N207" s="112" t="s">
        <v>211</v>
      </c>
      <c r="O207" s="420" t="s">
        <v>15</v>
      </c>
    </row>
    <row r="208" spans="1:15" s="428" customFormat="1" ht="14.25" customHeight="1">
      <c r="A208" s="452" t="s">
        <v>127</v>
      </c>
      <c r="B208" s="454" t="s">
        <v>565</v>
      </c>
      <c r="C208" s="452" t="s">
        <v>23</v>
      </c>
      <c r="D208" s="452" t="s">
        <v>566</v>
      </c>
      <c r="E208" s="594" t="s">
        <v>126</v>
      </c>
      <c r="F208" s="594"/>
      <c r="G208" s="453" t="s">
        <v>25</v>
      </c>
      <c r="H208" s="438">
        <v>1</v>
      </c>
      <c r="I208" s="432">
        <f t="shared" ref="I208:K208" si="96">SUM(I209:I211)</f>
        <v>49.87</v>
      </c>
      <c r="J208" s="432">
        <f t="shared" si="96"/>
        <v>4</v>
      </c>
      <c r="K208" s="432">
        <f t="shared" si="96"/>
        <v>156.69999999999999</v>
      </c>
      <c r="L208" s="432">
        <f>SUM(L209:L211)</f>
        <v>210.57</v>
      </c>
      <c r="M208" s="432">
        <f>SUM(M209:M211)</f>
        <v>29.93</v>
      </c>
      <c r="N208" s="432">
        <f>SUM(N209:N211)</f>
        <v>157.68</v>
      </c>
      <c r="O208" s="432">
        <f>SUM(O209:O211)</f>
        <v>187.60999999999999</v>
      </c>
    </row>
    <row r="209" spans="1:15" s="428" customFormat="1" ht="25.5">
      <c r="A209" s="439" t="s">
        <v>147</v>
      </c>
      <c r="B209" s="441" t="s">
        <v>149</v>
      </c>
      <c r="C209" s="439" t="s">
        <v>27</v>
      </c>
      <c r="D209" s="439" t="s">
        <v>148</v>
      </c>
      <c r="E209" s="590" t="s">
        <v>144</v>
      </c>
      <c r="F209" s="590"/>
      <c r="G209" s="440" t="s">
        <v>29</v>
      </c>
      <c r="H209" s="442">
        <v>0.6</v>
      </c>
      <c r="I209" s="370">
        <v>28.81</v>
      </c>
      <c r="J209" s="370">
        <v>2</v>
      </c>
      <c r="K209" s="370">
        <v>1.77</v>
      </c>
      <c r="L209" s="370">
        <f>SUM(I209:K209)</f>
        <v>32.58</v>
      </c>
      <c r="M209" s="370">
        <f>ROUND(I209*H209,2)</f>
        <v>17.29</v>
      </c>
      <c r="N209" s="370">
        <f>ROUND(SUM(J209:K209)*H209,2)</f>
        <v>2.2599999999999998</v>
      </c>
      <c r="O209" s="370">
        <f>SUM(M209:N209)</f>
        <v>19.549999999999997</v>
      </c>
    </row>
    <row r="210" spans="1:15" s="428" customFormat="1" ht="25.5">
      <c r="A210" s="439" t="s">
        <v>147</v>
      </c>
      <c r="B210" s="441" t="s">
        <v>146</v>
      </c>
      <c r="C210" s="439" t="s">
        <v>27</v>
      </c>
      <c r="D210" s="439" t="s">
        <v>145</v>
      </c>
      <c r="E210" s="590" t="s">
        <v>144</v>
      </c>
      <c r="F210" s="590"/>
      <c r="G210" s="440" t="s">
        <v>29</v>
      </c>
      <c r="H210" s="442">
        <v>0.6</v>
      </c>
      <c r="I210" s="370">
        <v>21.06</v>
      </c>
      <c r="J210" s="370">
        <v>2</v>
      </c>
      <c r="K210" s="370">
        <v>1.77</v>
      </c>
      <c r="L210" s="370">
        <f t="shared" ref="L210:L211" si="97">SUM(I210:K210)</f>
        <v>24.83</v>
      </c>
      <c r="M210" s="370">
        <f t="shared" ref="M210:M211" si="98">ROUND(I210*H210,2)</f>
        <v>12.64</v>
      </c>
      <c r="N210" s="370">
        <f t="shared" ref="N210:N211" si="99">ROUND(SUM(J210:K210)*H210,2)</f>
        <v>2.2599999999999998</v>
      </c>
      <c r="O210" s="370">
        <f t="shared" ref="O210:O211" si="100">SUM(M210:N210)</f>
        <v>14.9</v>
      </c>
    </row>
    <row r="211" spans="1:15" s="428" customFormat="1">
      <c r="A211" s="443" t="s">
        <v>114</v>
      </c>
      <c r="B211" s="445" t="s">
        <v>569</v>
      </c>
      <c r="C211" s="443" t="s">
        <v>332</v>
      </c>
      <c r="D211" s="443" t="s">
        <v>570</v>
      </c>
      <c r="E211" s="591" t="s">
        <v>111</v>
      </c>
      <c r="F211" s="591"/>
      <c r="G211" s="444" t="s">
        <v>25</v>
      </c>
      <c r="H211" s="446">
        <v>1</v>
      </c>
      <c r="I211" s="374">
        <v>0</v>
      </c>
      <c r="J211" s="374">
        <v>0</v>
      </c>
      <c r="K211" s="374">
        <v>153.16</v>
      </c>
      <c r="L211" s="374">
        <f t="shared" si="97"/>
        <v>153.16</v>
      </c>
      <c r="M211" s="374">
        <f t="shared" si="98"/>
        <v>0</v>
      </c>
      <c r="N211" s="374">
        <f t="shared" si="99"/>
        <v>153.16</v>
      </c>
      <c r="O211" s="374">
        <f t="shared" si="100"/>
        <v>153.16</v>
      </c>
    </row>
    <row r="212" spans="1:15" s="428" customFormat="1">
      <c r="A212" s="418"/>
      <c r="B212" s="418"/>
      <c r="C212" s="418"/>
      <c r="D212" s="418"/>
      <c r="E212" s="418"/>
      <c r="F212" s="180"/>
      <c r="G212" s="418"/>
      <c r="H212" s="180"/>
      <c r="I212" s="180"/>
      <c r="J212" s="180"/>
      <c r="K212" s="180"/>
      <c r="L212" s="418"/>
      <c r="M212" s="418"/>
      <c r="N212" s="418"/>
      <c r="O212" s="180"/>
    </row>
    <row r="213" spans="1:15" s="493" customFormat="1">
      <c r="A213" s="484"/>
      <c r="B213" s="484"/>
      <c r="C213" s="484"/>
      <c r="D213" s="484"/>
      <c r="E213" s="484"/>
      <c r="F213" s="180"/>
      <c r="G213" s="484"/>
      <c r="H213" s="180"/>
      <c r="I213" s="180"/>
      <c r="J213" s="180"/>
      <c r="K213" s="180"/>
      <c r="L213" s="484"/>
      <c r="M213" s="484"/>
      <c r="N213" s="484"/>
      <c r="O213" s="180"/>
    </row>
    <row r="214" spans="1:15" s="493" customFormat="1" ht="45">
      <c r="A214" s="501" t="s">
        <v>669</v>
      </c>
      <c r="B214" s="494" t="s">
        <v>8</v>
      </c>
      <c r="C214" s="501" t="s">
        <v>9</v>
      </c>
      <c r="D214" s="501" t="s">
        <v>10</v>
      </c>
      <c r="E214" s="592" t="s">
        <v>128</v>
      </c>
      <c r="F214" s="593"/>
      <c r="G214" s="502" t="s">
        <v>11</v>
      </c>
      <c r="H214" s="494" t="s">
        <v>12</v>
      </c>
      <c r="I214" s="494" t="s">
        <v>214</v>
      </c>
      <c r="J214" s="494" t="s">
        <v>215</v>
      </c>
      <c r="K214" s="494" t="s">
        <v>216</v>
      </c>
      <c r="L214" s="494" t="s">
        <v>13</v>
      </c>
      <c r="M214" s="494" t="s">
        <v>210</v>
      </c>
      <c r="N214" s="112" t="s">
        <v>211</v>
      </c>
      <c r="O214" s="494" t="s">
        <v>15</v>
      </c>
    </row>
    <row r="215" spans="1:15" s="493" customFormat="1" ht="14.25" customHeight="1">
      <c r="A215" s="510" t="s">
        <v>127</v>
      </c>
      <c r="B215" s="512" t="s">
        <v>672</v>
      </c>
      <c r="C215" s="510" t="s">
        <v>23</v>
      </c>
      <c r="D215" s="510" t="s">
        <v>673</v>
      </c>
      <c r="E215" s="594" t="s">
        <v>126</v>
      </c>
      <c r="F215" s="594"/>
      <c r="G215" s="511" t="s">
        <v>305</v>
      </c>
      <c r="H215" s="513">
        <v>1</v>
      </c>
      <c r="I215" s="498">
        <f t="shared" ref="I215:O215" si="101">SUM(I216:I223)</f>
        <v>49.87</v>
      </c>
      <c r="J215" s="498">
        <f t="shared" si="101"/>
        <v>4</v>
      </c>
      <c r="K215" s="498">
        <f t="shared" si="101"/>
        <v>24.18</v>
      </c>
      <c r="L215" s="498">
        <f t="shared" si="101"/>
        <v>78.05</v>
      </c>
      <c r="M215" s="498">
        <f t="shared" si="101"/>
        <v>21.32</v>
      </c>
      <c r="N215" s="498">
        <f t="shared" si="101"/>
        <v>26.369999999999997</v>
      </c>
      <c r="O215" s="498">
        <f t="shared" si="101"/>
        <v>47.69</v>
      </c>
    </row>
    <row r="216" spans="1:15" s="493" customFormat="1" ht="25.5">
      <c r="A216" s="514" t="s">
        <v>147</v>
      </c>
      <c r="B216" s="516" t="s">
        <v>149</v>
      </c>
      <c r="C216" s="514" t="s">
        <v>27</v>
      </c>
      <c r="D216" s="514" t="s">
        <v>148</v>
      </c>
      <c r="E216" s="590" t="s">
        <v>144</v>
      </c>
      <c r="F216" s="590"/>
      <c r="G216" s="515" t="s">
        <v>29</v>
      </c>
      <c r="H216" s="518">
        <v>0.40429999999999999</v>
      </c>
      <c r="I216" s="517">
        <v>28.81</v>
      </c>
      <c r="J216" s="517">
        <v>2</v>
      </c>
      <c r="K216" s="517">
        <v>1.77</v>
      </c>
      <c r="L216" s="370">
        <f>SUM(I216:K216)</f>
        <v>32.58</v>
      </c>
      <c r="M216" s="370">
        <f>ROUND(I216*H216,2)</f>
        <v>11.65</v>
      </c>
      <c r="N216" s="370">
        <f>ROUND(SUM(J216:K216)*H216,2)</f>
        <v>1.52</v>
      </c>
      <c r="O216" s="370">
        <f>SUM(M216:N216)</f>
        <v>13.17</v>
      </c>
    </row>
    <row r="217" spans="1:15" s="493" customFormat="1" ht="25.5">
      <c r="A217" s="514" t="s">
        <v>147</v>
      </c>
      <c r="B217" s="516" t="s">
        <v>146</v>
      </c>
      <c r="C217" s="514" t="s">
        <v>27</v>
      </c>
      <c r="D217" s="514" t="s">
        <v>145</v>
      </c>
      <c r="E217" s="590" t="s">
        <v>144</v>
      </c>
      <c r="F217" s="590"/>
      <c r="G217" s="515" t="s">
        <v>29</v>
      </c>
      <c r="H217" s="518">
        <v>0.45929999999999999</v>
      </c>
      <c r="I217" s="517">
        <v>21.06</v>
      </c>
      <c r="J217" s="517">
        <v>2</v>
      </c>
      <c r="K217" s="517">
        <v>1.77</v>
      </c>
      <c r="L217" s="370">
        <f t="shared" ref="L217:L223" si="102">SUM(I217:K217)</f>
        <v>24.83</v>
      </c>
      <c r="M217" s="370">
        <f t="shared" ref="M217:M223" si="103">ROUND(I217*H217,2)</f>
        <v>9.67</v>
      </c>
      <c r="N217" s="370">
        <f t="shared" ref="N217:N223" si="104">ROUND(SUM(J217:K217)*H217,2)</f>
        <v>1.73</v>
      </c>
      <c r="O217" s="370">
        <f t="shared" ref="O217:O223" si="105">SUM(M217:N217)</f>
        <v>11.4</v>
      </c>
    </row>
    <row r="218" spans="1:15" s="493" customFormat="1" ht="38.25">
      <c r="A218" s="519" t="s">
        <v>114</v>
      </c>
      <c r="B218" s="521" t="s">
        <v>674</v>
      </c>
      <c r="C218" s="519" t="s">
        <v>27</v>
      </c>
      <c r="D218" s="519" t="s">
        <v>675</v>
      </c>
      <c r="E218" s="591" t="s">
        <v>111</v>
      </c>
      <c r="F218" s="591"/>
      <c r="G218" s="520" t="s">
        <v>25</v>
      </c>
      <c r="H218" s="523">
        <v>2.6669999999999998</v>
      </c>
      <c r="I218" s="522">
        <v>0</v>
      </c>
      <c r="J218" s="522">
        <v>0</v>
      </c>
      <c r="K218" s="522">
        <v>1.56</v>
      </c>
      <c r="L218" s="374">
        <f t="shared" si="102"/>
        <v>1.56</v>
      </c>
      <c r="M218" s="374">
        <f t="shared" si="103"/>
        <v>0</v>
      </c>
      <c r="N218" s="374">
        <f t="shared" si="104"/>
        <v>4.16</v>
      </c>
      <c r="O218" s="374">
        <f t="shared" si="105"/>
        <v>4.16</v>
      </c>
    </row>
    <row r="219" spans="1:15" s="493" customFormat="1" ht="25.5">
      <c r="A219" s="519" t="s">
        <v>114</v>
      </c>
      <c r="B219" s="521" t="s">
        <v>676</v>
      </c>
      <c r="C219" s="519" t="s">
        <v>27</v>
      </c>
      <c r="D219" s="519" t="s">
        <v>677</v>
      </c>
      <c r="E219" s="591" t="s">
        <v>111</v>
      </c>
      <c r="F219" s="591"/>
      <c r="G219" s="520" t="s">
        <v>25</v>
      </c>
      <c r="H219" s="523">
        <v>1.33</v>
      </c>
      <c r="I219" s="522">
        <v>0</v>
      </c>
      <c r="J219" s="522">
        <v>0</v>
      </c>
      <c r="K219" s="522">
        <v>0.93</v>
      </c>
      <c r="L219" s="374">
        <f t="shared" si="102"/>
        <v>0.93</v>
      </c>
      <c r="M219" s="374">
        <f t="shared" si="103"/>
        <v>0</v>
      </c>
      <c r="N219" s="374">
        <f t="shared" si="104"/>
        <v>1.24</v>
      </c>
      <c r="O219" s="374">
        <f t="shared" si="105"/>
        <v>1.24</v>
      </c>
    </row>
    <row r="220" spans="1:15" s="493" customFormat="1">
      <c r="A220" s="519" t="s">
        <v>114</v>
      </c>
      <c r="B220" s="521" t="s">
        <v>678</v>
      </c>
      <c r="C220" s="519" t="s">
        <v>27</v>
      </c>
      <c r="D220" s="519" t="s">
        <v>679</v>
      </c>
      <c r="E220" s="591" t="s">
        <v>111</v>
      </c>
      <c r="F220" s="591"/>
      <c r="G220" s="520" t="s">
        <v>40</v>
      </c>
      <c r="H220" s="523">
        <v>0.2</v>
      </c>
      <c r="I220" s="522">
        <v>0</v>
      </c>
      <c r="J220" s="522">
        <v>0</v>
      </c>
      <c r="K220" s="522">
        <v>4.8099999999999996</v>
      </c>
      <c r="L220" s="374">
        <f t="shared" si="102"/>
        <v>4.8099999999999996</v>
      </c>
      <c r="M220" s="374">
        <f t="shared" si="103"/>
        <v>0</v>
      </c>
      <c r="N220" s="374">
        <f t="shared" si="104"/>
        <v>0.96</v>
      </c>
      <c r="O220" s="374">
        <f t="shared" si="105"/>
        <v>0.96</v>
      </c>
    </row>
    <row r="221" spans="1:15" s="493" customFormat="1">
      <c r="A221" s="519" t="s">
        <v>114</v>
      </c>
      <c r="B221" s="521" t="s">
        <v>680</v>
      </c>
      <c r="C221" s="519" t="s">
        <v>27</v>
      </c>
      <c r="D221" s="519" t="s">
        <v>681</v>
      </c>
      <c r="E221" s="591" t="s">
        <v>111</v>
      </c>
      <c r="F221" s="591"/>
      <c r="G221" s="520" t="s">
        <v>25</v>
      </c>
      <c r="H221" s="523">
        <v>2.6669999999999998</v>
      </c>
      <c r="I221" s="522">
        <v>0</v>
      </c>
      <c r="J221" s="522">
        <v>0</v>
      </c>
      <c r="K221" s="522">
        <v>0.48</v>
      </c>
      <c r="L221" s="374">
        <f t="shared" si="102"/>
        <v>0.48</v>
      </c>
      <c r="M221" s="374">
        <f t="shared" si="103"/>
        <v>0</v>
      </c>
      <c r="N221" s="374">
        <f t="shared" si="104"/>
        <v>1.28</v>
      </c>
      <c r="O221" s="374">
        <f t="shared" si="105"/>
        <v>1.28</v>
      </c>
    </row>
    <row r="222" spans="1:15" s="493" customFormat="1">
      <c r="A222" s="519" t="s">
        <v>114</v>
      </c>
      <c r="B222" s="521" t="s">
        <v>682</v>
      </c>
      <c r="C222" s="519" t="s">
        <v>27</v>
      </c>
      <c r="D222" s="519" t="s">
        <v>683</v>
      </c>
      <c r="E222" s="591" t="s">
        <v>111</v>
      </c>
      <c r="F222" s="591"/>
      <c r="G222" s="520" t="s">
        <v>40</v>
      </c>
      <c r="H222" s="523">
        <v>1.2</v>
      </c>
      <c r="I222" s="522">
        <v>0</v>
      </c>
      <c r="J222" s="522">
        <v>0</v>
      </c>
      <c r="K222" s="522">
        <v>12.51</v>
      </c>
      <c r="L222" s="374">
        <f t="shared" si="102"/>
        <v>12.51</v>
      </c>
      <c r="M222" s="374">
        <f t="shared" si="103"/>
        <v>0</v>
      </c>
      <c r="N222" s="374">
        <f t="shared" si="104"/>
        <v>15.01</v>
      </c>
      <c r="O222" s="374">
        <f t="shared" si="105"/>
        <v>15.01</v>
      </c>
    </row>
    <row r="223" spans="1:15" s="493" customFormat="1" ht="25.5">
      <c r="A223" s="519" t="s">
        <v>114</v>
      </c>
      <c r="B223" s="521" t="s">
        <v>684</v>
      </c>
      <c r="C223" s="519" t="s">
        <v>27</v>
      </c>
      <c r="D223" s="519" t="s">
        <v>685</v>
      </c>
      <c r="E223" s="591" t="s">
        <v>111</v>
      </c>
      <c r="F223" s="591"/>
      <c r="G223" s="520" t="s">
        <v>25</v>
      </c>
      <c r="H223" s="523">
        <v>1.333</v>
      </c>
      <c r="I223" s="522">
        <v>0</v>
      </c>
      <c r="J223" s="522">
        <v>0</v>
      </c>
      <c r="K223" s="522">
        <v>0.35</v>
      </c>
      <c r="L223" s="374">
        <f t="shared" si="102"/>
        <v>0.35</v>
      </c>
      <c r="M223" s="374">
        <f t="shared" si="103"/>
        <v>0</v>
      </c>
      <c r="N223" s="374">
        <f t="shared" si="104"/>
        <v>0.47</v>
      </c>
      <c r="O223" s="374">
        <f t="shared" si="105"/>
        <v>0.47</v>
      </c>
    </row>
    <row r="224" spans="1:15" s="493" customFormat="1">
      <c r="A224" s="484"/>
      <c r="B224" s="484"/>
      <c r="C224" s="484"/>
      <c r="D224" s="484"/>
      <c r="E224" s="484"/>
      <c r="F224" s="180"/>
      <c r="G224" s="484"/>
      <c r="H224" s="180"/>
      <c r="I224" s="180"/>
      <c r="J224" s="180"/>
      <c r="K224" s="180"/>
      <c r="L224" s="484"/>
      <c r="M224" s="484"/>
      <c r="N224" s="484"/>
      <c r="O224" s="180"/>
    </row>
    <row r="225" spans="1:15" s="526" customFormat="1">
      <c r="A225" s="524"/>
      <c r="B225" s="524"/>
      <c r="C225" s="524"/>
      <c r="D225" s="524"/>
      <c r="E225" s="524"/>
      <c r="F225" s="525"/>
      <c r="G225" s="524"/>
      <c r="H225" s="525"/>
      <c r="I225" s="525"/>
      <c r="J225" s="525"/>
      <c r="K225" s="525"/>
      <c r="L225" s="524"/>
      <c r="M225" s="524"/>
      <c r="N225" s="524"/>
      <c r="O225" s="525"/>
    </row>
    <row r="226" spans="1:15" s="526" customFormat="1" ht="45">
      <c r="A226" s="533" t="s">
        <v>671</v>
      </c>
      <c r="B226" s="527" t="s">
        <v>8</v>
      </c>
      <c r="C226" s="533" t="s">
        <v>9</v>
      </c>
      <c r="D226" s="533" t="s">
        <v>10</v>
      </c>
      <c r="E226" s="592" t="s">
        <v>128</v>
      </c>
      <c r="F226" s="593"/>
      <c r="G226" s="534" t="s">
        <v>11</v>
      </c>
      <c r="H226" s="527" t="s">
        <v>12</v>
      </c>
      <c r="I226" s="527" t="s">
        <v>214</v>
      </c>
      <c r="J226" s="527" t="s">
        <v>215</v>
      </c>
      <c r="K226" s="527" t="s">
        <v>216</v>
      </c>
      <c r="L226" s="527" t="s">
        <v>13</v>
      </c>
      <c r="M226" s="527" t="s">
        <v>210</v>
      </c>
      <c r="N226" s="112" t="s">
        <v>211</v>
      </c>
      <c r="O226" s="527" t="s">
        <v>15</v>
      </c>
    </row>
    <row r="227" spans="1:15" s="526" customFormat="1" ht="25.5" customHeight="1">
      <c r="A227" s="535" t="s">
        <v>127</v>
      </c>
      <c r="B227" s="537" t="s">
        <v>688</v>
      </c>
      <c r="C227" s="535" t="s">
        <v>23</v>
      </c>
      <c r="D227" s="535" t="s">
        <v>687</v>
      </c>
      <c r="E227" s="594" t="s">
        <v>126</v>
      </c>
      <c r="F227" s="594"/>
      <c r="G227" s="536" t="s">
        <v>25</v>
      </c>
      <c r="H227" s="538">
        <v>1</v>
      </c>
      <c r="I227" s="531">
        <f>SUM(I228:I235)</f>
        <v>130.87</v>
      </c>
      <c r="J227" s="531">
        <f t="shared" ref="J227:O227" si="106">SUM(J228:J229)</f>
        <v>4</v>
      </c>
      <c r="K227" s="531">
        <f t="shared" si="106"/>
        <v>3.54</v>
      </c>
      <c r="L227" s="531">
        <f t="shared" si="106"/>
        <v>57.41</v>
      </c>
      <c r="M227" s="531">
        <f t="shared" si="106"/>
        <v>249.35000000000002</v>
      </c>
      <c r="N227" s="531">
        <f t="shared" si="106"/>
        <v>37.700000000000003</v>
      </c>
      <c r="O227" s="531">
        <f t="shared" si="106"/>
        <v>287.05</v>
      </c>
    </row>
    <row r="228" spans="1:15" s="526" customFormat="1" ht="25.5">
      <c r="A228" s="539" t="s">
        <v>147</v>
      </c>
      <c r="B228" s="541" t="s">
        <v>149</v>
      </c>
      <c r="C228" s="539" t="s">
        <v>27</v>
      </c>
      <c r="D228" s="539" t="s">
        <v>148</v>
      </c>
      <c r="E228" s="590" t="s">
        <v>144</v>
      </c>
      <c r="F228" s="590"/>
      <c r="G228" s="540" t="s">
        <v>29</v>
      </c>
      <c r="H228" s="542">
        <v>5</v>
      </c>
      <c r="I228" s="517">
        <v>28.81</v>
      </c>
      <c r="J228" s="517">
        <v>2</v>
      </c>
      <c r="K228" s="517">
        <v>1.77</v>
      </c>
      <c r="L228" s="517">
        <f>SUM(I228:K228)</f>
        <v>32.58</v>
      </c>
      <c r="M228" s="517">
        <f>ROUND(I228*H228,2)</f>
        <v>144.05000000000001</v>
      </c>
      <c r="N228" s="517">
        <f>ROUND(SUM(J228:K228)*H228,2)</f>
        <v>18.850000000000001</v>
      </c>
      <c r="O228" s="517">
        <f>SUM(M228:N228)</f>
        <v>162.9</v>
      </c>
    </row>
    <row r="229" spans="1:15" s="526" customFormat="1" ht="25.5">
      <c r="A229" s="539" t="s">
        <v>147</v>
      </c>
      <c r="B229" s="541" t="s">
        <v>146</v>
      </c>
      <c r="C229" s="539" t="s">
        <v>27</v>
      </c>
      <c r="D229" s="539" t="s">
        <v>145</v>
      </c>
      <c r="E229" s="590" t="s">
        <v>144</v>
      </c>
      <c r="F229" s="590"/>
      <c r="G229" s="540" t="s">
        <v>29</v>
      </c>
      <c r="H229" s="542">
        <v>5</v>
      </c>
      <c r="I229" s="517">
        <v>21.06</v>
      </c>
      <c r="J229" s="517">
        <v>2</v>
      </c>
      <c r="K229" s="517">
        <v>1.77</v>
      </c>
      <c r="L229" s="517">
        <f t="shared" ref="L229" si="107">SUM(I229:K229)</f>
        <v>24.83</v>
      </c>
      <c r="M229" s="517">
        <f t="shared" ref="M229" si="108">ROUND(I229*H229,2)</f>
        <v>105.3</v>
      </c>
      <c r="N229" s="517">
        <f t="shared" ref="N229" si="109">ROUND(SUM(J229:K229)*H229,2)</f>
        <v>18.850000000000001</v>
      </c>
      <c r="O229" s="517">
        <f t="shared" ref="O229" si="110">SUM(M229:N229)</f>
        <v>124.15</v>
      </c>
    </row>
    <row r="230" spans="1:15" s="526" customFormat="1">
      <c r="A230" s="524"/>
      <c r="B230" s="524"/>
      <c r="C230" s="524"/>
      <c r="D230" s="524"/>
      <c r="E230" s="524"/>
      <c r="F230" s="525"/>
      <c r="G230" s="524"/>
      <c r="H230" s="525"/>
      <c r="I230" s="525"/>
      <c r="J230" s="525"/>
      <c r="K230" s="525"/>
      <c r="L230" s="524"/>
      <c r="M230" s="524"/>
      <c r="N230" s="524"/>
      <c r="O230" s="525"/>
    </row>
    <row r="231" spans="1:15" s="493" customFormat="1">
      <c r="A231" s="484"/>
      <c r="B231" s="484"/>
      <c r="C231" s="484"/>
      <c r="D231" s="484"/>
      <c r="E231" s="484"/>
      <c r="F231" s="180"/>
      <c r="G231" s="484"/>
      <c r="H231" s="180"/>
      <c r="I231" s="180"/>
      <c r="J231" s="180"/>
      <c r="K231" s="180"/>
      <c r="L231" s="484"/>
      <c r="M231" s="484"/>
      <c r="N231" s="484"/>
      <c r="O231" s="180"/>
    </row>
    <row r="232" spans="1:15" s="428" customFormat="1" ht="45">
      <c r="A232" s="258" t="s">
        <v>476</v>
      </c>
      <c r="B232" s="259" t="s">
        <v>8</v>
      </c>
      <c r="C232" s="258" t="s">
        <v>9</v>
      </c>
      <c r="D232" s="258" t="s">
        <v>10</v>
      </c>
      <c r="E232" s="592" t="s">
        <v>128</v>
      </c>
      <c r="F232" s="593"/>
      <c r="G232" s="257" t="s">
        <v>11</v>
      </c>
      <c r="H232" s="259" t="s">
        <v>12</v>
      </c>
      <c r="I232" s="259" t="s">
        <v>214</v>
      </c>
      <c r="J232" s="259" t="s">
        <v>215</v>
      </c>
      <c r="K232" s="259" t="s">
        <v>216</v>
      </c>
      <c r="L232" s="259" t="s">
        <v>13</v>
      </c>
      <c r="M232" s="259" t="s">
        <v>210</v>
      </c>
      <c r="N232" s="112" t="s">
        <v>211</v>
      </c>
      <c r="O232" s="259" t="s">
        <v>15</v>
      </c>
    </row>
    <row r="233" spans="1:15" s="428" customFormat="1">
      <c r="A233" s="261" t="s">
        <v>127</v>
      </c>
      <c r="B233" s="217" t="s">
        <v>222</v>
      </c>
      <c r="C233" s="261" t="s">
        <v>23</v>
      </c>
      <c r="D233" s="261" t="s">
        <v>691</v>
      </c>
      <c r="E233" s="600" t="s">
        <v>150</v>
      </c>
      <c r="F233" s="601"/>
      <c r="G233" s="216" t="s">
        <v>25</v>
      </c>
      <c r="H233" s="218">
        <v>1</v>
      </c>
      <c r="I233" s="212">
        <f t="shared" ref="I233:O233" si="111">SUM(I234:I235)</f>
        <v>40.5</v>
      </c>
      <c r="J233" s="212">
        <f t="shared" si="111"/>
        <v>2.66</v>
      </c>
      <c r="K233" s="212">
        <f t="shared" si="111"/>
        <v>3.54</v>
      </c>
      <c r="L233" s="212">
        <f t="shared" si="111"/>
        <v>46.7</v>
      </c>
      <c r="M233" s="212">
        <f t="shared" si="111"/>
        <v>121.5</v>
      </c>
      <c r="N233" s="212">
        <f t="shared" si="111"/>
        <v>18.600000000000001</v>
      </c>
      <c r="O233" s="212">
        <f t="shared" si="111"/>
        <v>140.10000000000002</v>
      </c>
    </row>
    <row r="234" spans="1:15" s="428" customFormat="1" ht="25.5">
      <c r="A234" s="82" t="s">
        <v>147</v>
      </c>
      <c r="B234" s="53" t="s">
        <v>154</v>
      </c>
      <c r="C234" s="82" t="s">
        <v>27</v>
      </c>
      <c r="D234" s="82" t="s">
        <v>153</v>
      </c>
      <c r="E234" s="590" t="s">
        <v>144</v>
      </c>
      <c r="F234" s="590"/>
      <c r="G234" s="52" t="s">
        <v>29</v>
      </c>
      <c r="H234" s="51">
        <v>3</v>
      </c>
      <c r="I234" s="50">
        <v>23.41</v>
      </c>
      <c r="J234" s="50">
        <v>1.33</v>
      </c>
      <c r="K234" s="50">
        <v>1.77</v>
      </c>
      <c r="L234" s="50">
        <f>SUM(I234:K234)</f>
        <v>26.51</v>
      </c>
      <c r="M234" s="50">
        <f>ROUND(I234*H234,2)</f>
        <v>70.23</v>
      </c>
      <c r="N234" s="50">
        <f>ROUND(SUM(J234:K234)*H234,2)</f>
        <v>9.3000000000000007</v>
      </c>
      <c r="O234" s="50">
        <f>SUM(M234:N234)</f>
        <v>79.53</v>
      </c>
    </row>
    <row r="235" spans="1:15" s="428" customFormat="1" ht="25.5">
      <c r="A235" s="82" t="s">
        <v>147</v>
      </c>
      <c r="B235" s="53" t="s">
        <v>152</v>
      </c>
      <c r="C235" s="82" t="s">
        <v>27</v>
      </c>
      <c r="D235" s="82" t="s">
        <v>151</v>
      </c>
      <c r="E235" s="590" t="s">
        <v>144</v>
      </c>
      <c r="F235" s="590"/>
      <c r="G235" s="52" t="s">
        <v>29</v>
      </c>
      <c r="H235" s="51">
        <v>3</v>
      </c>
      <c r="I235" s="50">
        <v>17.09</v>
      </c>
      <c r="J235" s="50">
        <v>1.33</v>
      </c>
      <c r="K235" s="50">
        <v>1.77</v>
      </c>
      <c r="L235" s="50">
        <f t="shared" ref="L235" si="112">SUM(I235:K235)</f>
        <v>20.190000000000001</v>
      </c>
      <c r="M235" s="50">
        <f t="shared" ref="M235" si="113">ROUND(I235*H235,2)</f>
        <v>51.27</v>
      </c>
      <c r="N235" s="50">
        <f>ROUND(SUM(J235:K235)*H235,2)</f>
        <v>9.3000000000000007</v>
      </c>
      <c r="O235" s="50">
        <f t="shared" ref="O235" si="114">SUM(M235:N235)</f>
        <v>60.570000000000007</v>
      </c>
    </row>
    <row r="236" spans="1:15" s="428" customFormat="1">
      <c r="A236" s="424"/>
      <c r="B236" s="424"/>
      <c r="C236" s="424"/>
      <c r="D236" s="424"/>
      <c r="E236" s="424"/>
      <c r="F236" s="424"/>
      <c r="G236" s="424"/>
      <c r="H236" s="424"/>
      <c r="I236" s="424"/>
      <c r="J236" s="424"/>
      <c r="K236" s="424"/>
      <c r="L236" s="424"/>
      <c r="M236" s="424"/>
      <c r="N236" s="424"/>
      <c r="O236" s="424"/>
    </row>
    <row r="237" spans="1:15" s="428" customFormat="1" ht="45">
      <c r="A237" s="419" t="s">
        <v>578</v>
      </c>
      <c r="B237" s="420" t="s">
        <v>8</v>
      </c>
      <c r="C237" s="419" t="s">
        <v>9</v>
      </c>
      <c r="D237" s="419" t="s">
        <v>10</v>
      </c>
      <c r="E237" s="547" t="s">
        <v>128</v>
      </c>
      <c r="F237" s="547"/>
      <c r="G237" s="421" t="s">
        <v>11</v>
      </c>
      <c r="H237" s="420" t="s">
        <v>12</v>
      </c>
      <c r="I237" s="420" t="s">
        <v>214</v>
      </c>
      <c r="J237" s="420" t="s">
        <v>215</v>
      </c>
      <c r="K237" s="420" t="s">
        <v>216</v>
      </c>
      <c r="L237" s="420" t="s">
        <v>13</v>
      </c>
      <c r="M237" s="420" t="s">
        <v>210</v>
      </c>
      <c r="N237" s="112" t="s">
        <v>211</v>
      </c>
      <c r="O237" s="420" t="s">
        <v>15</v>
      </c>
    </row>
    <row r="238" spans="1:15" s="428" customFormat="1" ht="14.25" customHeight="1">
      <c r="A238" s="452" t="s">
        <v>127</v>
      </c>
      <c r="B238" s="454" t="s">
        <v>571</v>
      </c>
      <c r="C238" s="452" t="s">
        <v>23</v>
      </c>
      <c r="D238" s="452" t="s">
        <v>572</v>
      </c>
      <c r="E238" s="594" t="s">
        <v>150</v>
      </c>
      <c r="F238" s="594"/>
      <c r="G238" s="453" t="s">
        <v>25</v>
      </c>
      <c r="H238" s="438">
        <v>1</v>
      </c>
      <c r="I238" s="432">
        <f t="shared" ref="I238:O238" si="115">SUM(I239:I243)</f>
        <v>49.87</v>
      </c>
      <c r="J238" s="432">
        <f t="shared" si="115"/>
        <v>4</v>
      </c>
      <c r="K238" s="432">
        <f t="shared" si="115"/>
        <v>15.089999999999998</v>
      </c>
      <c r="L238" s="432">
        <f t="shared" si="115"/>
        <v>69.849999999999994</v>
      </c>
      <c r="M238" s="432">
        <f t="shared" si="115"/>
        <v>1994.8000000000002</v>
      </c>
      <c r="N238" s="432">
        <f t="shared" si="115"/>
        <v>2669.48</v>
      </c>
      <c r="O238" s="432">
        <f t="shared" si="115"/>
        <v>4664.28</v>
      </c>
    </row>
    <row r="239" spans="1:15" s="428" customFormat="1" ht="25.5">
      <c r="A239" s="439" t="s">
        <v>147</v>
      </c>
      <c r="B239" s="441" t="s">
        <v>149</v>
      </c>
      <c r="C239" s="439" t="s">
        <v>27</v>
      </c>
      <c r="D239" s="439" t="s">
        <v>148</v>
      </c>
      <c r="E239" s="590" t="s">
        <v>144</v>
      </c>
      <c r="F239" s="590"/>
      <c r="G239" s="440" t="s">
        <v>29</v>
      </c>
      <c r="H239" s="442">
        <v>40</v>
      </c>
      <c r="I239" s="370">
        <v>28.81</v>
      </c>
      <c r="J239" s="370">
        <v>2</v>
      </c>
      <c r="K239" s="370">
        <v>1.77</v>
      </c>
      <c r="L239" s="370">
        <v>36.82</v>
      </c>
      <c r="M239" s="370">
        <f>ROUND(I239*H239,2)</f>
        <v>1152.4000000000001</v>
      </c>
      <c r="N239" s="370">
        <f>ROUND(SUM(J239:K239)*H239,2)</f>
        <v>150.80000000000001</v>
      </c>
      <c r="O239" s="370">
        <f>SUM(M239:N239)</f>
        <v>1303.2</v>
      </c>
    </row>
    <row r="240" spans="1:15" s="428" customFormat="1" ht="25.5">
      <c r="A240" s="439" t="s">
        <v>147</v>
      </c>
      <c r="B240" s="441" t="s">
        <v>146</v>
      </c>
      <c r="C240" s="439" t="s">
        <v>27</v>
      </c>
      <c r="D240" s="439" t="s">
        <v>145</v>
      </c>
      <c r="E240" s="590" t="s">
        <v>144</v>
      </c>
      <c r="F240" s="590"/>
      <c r="G240" s="440" t="s">
        <v>29</v>
      </c>
      <c r="H240" s="442">
        <v>40</v>
      </c>
      <c r="I240" s="370">
        <v>21.06</v>
      </c>
      <c r="J240" s="370">
        <v>2</v>
      </c>
      <c r="K240" s="370">
        <v>1.77</v>
      </c>
      <c r="L240" s="370">
        <v>21.48</v>
      </c>
      <c r="M240" s="370">
        <f>ROUND(I240*H240,2)</f>
        <v>842.4</v>
      </c>
      <c r="N240" s="370">
        <f>ROUND(SUM(J240:K240)*H240,2)</f>
        <v>150.80000000000001</v>
      </c>
      <c r="O240" s="370">
        <f>SUM(M240:N240)</f>
        <v>993.2</v>
      </c>
    </row>
    <row r="241" spans="1:15" s="428" customFormat="1">
      <c r="A241" s="443" t="s">
        <v>114</v>
      </c>
      <c r="B241" s="445" t="s">
        <v>573</v>
      </c>
      <c r="C241" s="443" t="s">
        <v>332</v>
      </c>
      <c r="D241" s="443" t="s">
        <v>574</v>
      </c>
      <c r="E241" s="591" t="s">
        <v>111</v>
      </c>
      <c r="F241" s="591"/>
      <c r="G241" s="444" t="s">
        <v>40</v>
      </c>
      <c r="H241" s="446">
        <v>164</v>
      </c>
      <c r="I241" s="374">
        <v>0</v>
      </c>
      <c r="J241" s="374">
        <v>0</v>
      </c>
      <c r="K241" s="374">
        <v>3.15</v>
      </c>
      <c r="L241" s="374">
        <f>SUM(I241:K241)</f>
        <v>3.15</v>
      </c>
      <c r="M241" s="374">
        <f>ROUND(I241*H241,2)</f>
        <v>0</v>
      </c>
      <c r="N241" s="374">
        <f>ROUND(SUM(J241:K241)*H241,2)</f>
        <v>516.6</v>
      </c>
      <c r="O241" s="374">
        <f>SUM(M241:N241)</f>
        <v>516.6</v>
      </c>
    </row>
    <row r="242" spans="1:15" s="428" customFormat="1">
      <c r="A242" s="443" t="s">
        <v>114</v>
      </c>
      <c r="B242" s="445" t="s">
        <v>575</v>
      </c>
      <c r="C242" s="443" t="s">
        <v>332</v>
      </c>
      <c r="D242" s="443" t="s">
        <v>542</v>
      </c>
      <c r="E242" s="591" t="s">
        <v>111</v>
      </c>
      <c r="F242" s="591"/>
      <c r="G242" s="444" t="s">
        <v>40</v>
      </c>
      <c r="H242" s="446">
        <v>393</v>
      </c>
      <c r="I242" s="374">
        <v>0</v>
      </c>
      <c r="J242" s="374">
        <v>0</v>
      </c>
      <c r="K242" s="374">
        <v>4.46</v>
      </c>
      <c r="L242" s="374">
        <f t="shared" ref="L242:L243" si="116">SUM(I242:K242)</f>
        <v>4.46</v>
      </c>
      <c r="M242" s="374">
        <f t="shared" ref="M242:M243" si="117">ROUND(I242*H242,2)</f>
        <v>0</v>
      </c>
      <c r="N242" s="374">
        <f>ROUND(SUM(J242:K242)*H242,2)</f>
        <v>1752.78</v>
      </c>
      <c r="O242" s="374">
        <f t="shared" ref="O242:O243" si="118">SUM(M242:N242)</f>
        <v>1752.78</v>
      </c>
    </row>
    <row r="243" spans="1:15" s="428" customFormat="1">
      <c r="A243" s="443" t="s">
        <v>114</v>
      </c>
      <c r="B243" s="445" t="s">
        <v>576</v>
      </c>
      <c r="C243" s="443" t="s">
        <v>332</v>
      </c>
      <c r="D243" s="443" t="s">
        <v>577</v>
      </c>
      <c r="E243" s="591" t="s">
        <v>111</v>
      </c>
      <c r="F243" s="591"/>
      <c r="G243" s="444" t="s">
        <v>25</v>
      </c>
      <c r="H243" s="446">
        <v>25</v>
      </c>
      <c r="I243" s="374">
        <v>0</v>
      </c>
      <c r="J243" s="374">
        <v>0</v>
      </c>
      <c r="K243" s="374">
        <v>3.94</v>
      </c>
      <c r="L243" s="374">
        <f t="shared" si="116"/>
        <v>3.94</v>
      </c>
      <c r="M243" s="374">
        <f t="shared" si="117"/>
        <v>0</v>
      </c>
      <c r="N243" s="374">
        <f t="shared" ref="N243" si="119">ROUND(SUM(J243:K243)*H243,2)</f>
        <v>98.5</v>
      </c>
      <c r="O243" s="374">
        <f t="shared" si="118"/>
        <v>98.5</v>
      </c>
    </row>
    <row r="244" spans="1:15" s="428" customFormat="1">
      <c r="A244" s="418"/>
      <c r="B244" s="418"/>
      <c r="C244" s="418"/>
      <c r="D244" s="418"/>
      <c r="E244" s="418"/>
      <c r="F244" s="180"/>
      <c r="G244" s="418"/>
      <c r="H244" s="180"/>
      <c r="I244" s="180"/>
      <c r="J244" s="180"/>
      <c r="K244" s="180"/>
      <c r="L244" s="418"/>
      <c r="M244" s="418"/>
      <c r="N244" s="418"/>
      <c r="O244" s="180"/>
    </row>
    <row r="245" spans="1:15" s="428" customFormat="1" ht="45">
      <c r="A245" s="419" t="s">
        <v>584</v>
      </c>
      <c r="B245" s="420" t="s">
        <v>8</v>
      </c>
      <c r="C245" s="419" t="s">
        <v>9</v>
      </c>
      <c r="D245" s="419" t="s">
        <v>10</v>
      </c>
      <c r="E245" s="547" t="s">
        <v>128</v>
      </c>
      <c r="F245" s="547"/>
      <c r="G245" s="421" t="s">
        <v>11</v>
      </c>
      <c r="H245" s="420" t="s">
        <v>12</v>
      </c>
      <c r="I245" s="420" t="s">
        <v>214</v>
      </c>
      <c r="J245" s="420" t="s">
        <v>215</v>
      </c>
      <c r="K245" s="420" t="s">
        <v>216</v>
      </c>
      <c r="L245" s="420" t="s">
        <v>13</v>
      </c>
      <c r="M245" s="420" t="s">
        <v>210</v>
      </c>
      <c r="N245" s="112" t="s">
        <v>211</v>
      </c>
      <c r="O245" s="420" t="s">
        <v>15</v>
      </c>
    </row>
    <row r="246" spans="1:15" s="428" customFormat="1" ht="14.25" customHeight="1">
      <c r="A246" s="458" t="s">
        <v>127</v>
      </c>
      <c r="B246" s="460" t="s">
        <v>579</v>
      </c>
      <c r="C246" s="458" t="s">
        <v>23</v>
      </c>
      <c r="D246" s="458" t="s">
        <v>580</v>
      </c>
      <c r="E246" s="594" t="s">
        <v>581</v>
      </c>
      <c r="F246" s="594"/>
      <c r="G246" s="459" t="s">
        <v>25</v>
      </c>
      <c r="H246" s="438">
        <v>1</v>
      </c>
      <c r="I246" s="432">
        <f>SUM(I247:I248)</f>
        <v>28.81</v>
      </c>
      <c r="J246" s="432">
        <f>SUM(J247:J248)</f>
        <v>2</v>
      </c>
      <c r="K246" s="432">
        <f>SUM(K247:K248)</f>
        <v>61.040000000000006</v>
      </c>
      <c r="L246" s="432">
        <f>SUM(I246:K246)</f>
        <v>91.850000000000009</v>
      </c>
      <c r="M246" s="432">
        <f>SUM(M247:M248)</f>
        <v>14.41</v>
      </c>
      <c r="N246" s="432">
        <f>SUM(N247:N248)</f>
        <v>61.160000000000004</v>
      </c>
      <c r="O246" s="432">
        <f>SUM(O247:O248)</f>
        <v>75.570000000000007</v>
      </c>
    </row>
    <row r="247" spans="1:15" s="428" customFormat="1" ht="25.5">
      <c r="A247" s="456" t="s">
        <v>147</v>
      </c>
      <c r="B247" s="441" t="s">
        <v>149</v>
      </c>
      <c r="C247" s="456" t="s">
        <v>27</v>
      </c>
      <c r="D247" s="456" t="s">
        <v>148</v>
      </c>
      <c r="E247" s="590" t="s">
        <v>144</v>
      </c>
      <c r="F247" s="590"/>
      <c r="G247" s="440" t="s">
        <v>29</v>
      </c>
      <c r="H247" s="442">
        <v>0.5</v>
      </c>
      <c r="I247" s="370">
        <v>28.81</v>
      </c>
      <c r="J247" s="370">
        <v>2</v>
      </c>
      <c r="K247" s="370">
        <v>1.77</v>
      </c>
      <c r="L247" s="370">
        <f>SUM(I247:K247)</f>
        <v>32.58</v>
      </c>
      <c r="M247" s="370">
        <f t="shared" ref="M247:M248" si="120">ROUND((I247*H247),2)</f>
        <v>14.41</v>
      </c>
      <c r="N247" s="370">
        <f t="shared" ref="N247:N248" si="121">ROUND((SUM(J247:K247))*H247,2)</f>
        <v>1.89</v>
      </c>
      <c r="O247" s="370">
        <f t="shared" ref="O247:O248" si="122">SUM(M247:N247)</f>
        <v>16.3</v>
      </c>
    </row>
    <row r="248" spans="1:15" s="428" customFormat="1">
      <c r="A248" s="457" t="s">
        <v>114</v>
      </c>
      <c r="B248" s="445" t="s">
        <v>582</v>
      </c>
      <c r="C248" s="457" t="s">
        <v>332</v>
      </c>
      <c r="D248" s="457" t="s">
        <v>583</v>
      </c>
      <c r="E248" s="591" t="s">
        <v>111</v>
      </c>
      <c r="F248" s="591"/>
      <c r="G248" s="444" t="s">
        <v>25</v>
      </c>
      <c r="H248" s="446">
        <v>1</v>
      </c>
      <c r="I248" s="374">
        <v>0</v>
      </c>
      <c r="J248" s="374">
        <v>0</v>
      </c>
      <c r="K248" s="374">
        <v>59.27</v>
      </c>
      <c r="L248" s="374">
        <f>SUM(I248:K248)</f>
        <v>59.27</v>
      </c>
      <c r="M248" s="374">
        <f t="shared" si="120"/>
        <v>0</v>
      </c>
      <c r="N248" s="374">
        <f t="shared" si="121"/>
        <v>59.27</v>
      </c>
      <c r="O248" s="374">
        <f t="shared" si="122"/>
        <v>59.27</v>
      </c>
    </row>
    <row r="249" spans="1:15" s="428" customFormat="1">
      <c r="A249" s="418"/>
      <c r="B249" s="418"/>
      <c r="C249" s="418"/>
      <c r="D249" s="418"/>
      <c r="E249" s="418"/>
      <c r="F249" s="180"/>
      <c r="G249" s="418"/>
      <c r="H249" s="180"/>
      <c r="I249" s="180"/>
      <c r="J249" s="180"/>
      <c r="K249" s="180"/>
      <c r="L249" s="418"/>
      <c r="M249" s="418"/>
      <c r="N249" s="418"/>
      <c r="O249" s="180"/>
    </row>
    <row r="250" spans="1:15" s="428" customFormat="1">
      <c r="A250" s="418"/>
      <c r="B250" s="418"/>
      <c r="C250" s="418"/>
      <c r="D250" s="418"/>
      <c r="E250" s="418"/>
      <c r="F250" s="180"/>
      <c r="G250" s="418"/>
      <c r="H250" s="180"/>
      <c r="I250" s="180"/>
      <c r="J250" s="180"/>
      <c r="K250" s="180"/>
      <c r="L250" s="418"/>
      <c r="M250" s="418"/>
      <c r="N250" s="418"/>
      <c r="O250" s="180"/>
    </row>
    <row r="251" spans="1:15" s="428" customFormat="1" ht="45">
      <c r="A251" s="419" t="s">
        <v>589</v>
      </c>
      <c r="B251" s="420" t="s">
        <v>8</v>
      </c>
      <c r="C251" s="419" t="s">
        <v>9</v>
      </c>
      <c r="D251" s="419" t="s">
        <v>10</v>
      </c>
      <c r="E251" s="592" t="s">
        <v>128</v>
      </c>
      <c r="F251" s="593"/>
      <c r="G251" s="421" t="s">
        <v>11</v>
      </c>
      <c r="H251" s="420" t="s">
        <v>12</v>
      </c>
      <c r="I251" s="420" t="s">
        <v>214</v>
      </c>
      <c r="J251" s="420" t="s">
        <v>215</v>
      </c>
      <c r="K251" s="420" t="s">
        <v>216</v>
      </c>
      <c r="L251" s="420" t="s">
        <v>13</v>
      </c>
      <c r="M251" s="420" t="s">
        <v>210</v>
      </c>
      <c r="N251" s="112" t="s">
        <v>211</v>
      </c>
      <c r="O251" s="420" t="s">
        <v>15</v>
      </c>
    </row>
    <row r="252" spans="1:15" s="428" customFormat="1" ht="14.25" customHeight="1">
      <c r="A252" s="458" t="s">
        <v>127</v>
      </c>
      <c r="B252" s="460" t="s">
        <v>585</v>
      </c>
      <c r="C252" s="458" t="s">
        <v>23</v>
      </c>
      <c r="D252" s="458" t="s">
        <v>586</v>
      </c>
      <c r="E252" s="594" t="s">
        <v>581</v>
      </c>
      <c r="F252" s="594"/>
      <c r="G252" s="459" t="s">
        <v>25</v>
      </c>
      <c r="H252" s="438">
        <v>1</v>
      </c>
      <c r="I252" s="432">
        <f t="shared" ref="I252:O252" si="123">SUM(I253:I255)</f>
        <v>49.87</v>
      </c>
      <c r="J252" s="432">
        <f>SUM(J253:J255)</f>
        <v>4</v>
      </c>
      <c r="K252" s="432">
        <f>SUM(K253:K255)</f>
        <v>45.54</v>
      </c>
      <c r="L252" s="432">
        <f t="shared" si="123"/>
        <v>99.41</v>
      </c>
      <c r="M252" s="432">
        <f t="shared" si="123"/>
        <v>14.46</v>
      </c>
      <c r="N252" s="432">
        <f t="shared" si="123"/>
        <v>44.18</v>
      </c>
      <c r="O252" s="432">
        <f t="shared" si="123"/>
        <v>58.64</v>
      </c>
    </row>
    <row r="253" spans="1:15" s="428" customFormat="1" ht="25.5">
      <c r="A253" s="456" t="s">
        <v>147</v>
      </c>
      <c r="B253" s="441" t="s">
        <v>149</v>
      </c>
      <c r="C253" s="456" t="s">
        <v>27</v>
      </c>
      <c r="D253" s="456" t="s">
        <v>148</v>
      </c>
      <c r="E253" s="590" t="s">
        <v>144</v>
      </c>
      <c r="F253" s="590"/>
      <c r="G253" s="440" t="s">
        <v>29</v>
      </c>
      <c r="H253" s="442">
        <v>0.28999999999999998</v>
      </c>
      <c r="I253" s="370">
        <v>28.81</v>
      </c>
      <c r="J253" s="370">
        <v>2</v>
      </c>
      <c r="K253" s="370">
        <v>1.77</v>
      </c>
      <c r="L253" s="370">
        <f>SUM(I253:K253)</f>
        <v>32.58</v>
      </c>
      <c r="M253" s="370">
        <f>ROUND(I253*H253,2)</f>
        <v>8.35</v>
      </c>
      <c r="N253" s="370">
        <f>ROUND(SUM(J253:K253)*H253,2)</f>
        <v>1.0900000000000001</v>
      </c>
      <c r="O253" s="370">
        <f>SUM(M253:N253)</f>
        <v>9.44</v>
      </c>
    </row>
    <row r="254" spans="1:15" s="428" customFormat="1" ht="25.5">
      <c r="A254" s="456" t="s">
        <v>147</v>
      </c>
      <c r="B254" s="441" t="s">
        <v>146</v>
      </c>
      <c r="C254" s="456" t="s">
        <v>27</v>
      </c>
      <c r="D254" s="456" t="s">
        <v>145</v>
      </c>
      <c r="E254" s="590" t="s">
        <v>144</v>
      </c>
      <c r="F254" s="590"/>
      <c r="G254" s="440" t="s">
        <v>29</v>
      </c>
      <c r="H254" s="442">
        <v>0.28999999999999998</v>
      </c>
      <c r="I254" s="370">
        <v>21.06</v>
      </c>
      <c r="J254" s="370">
        <v>2</v>
      </c>
      <c r="K254" s="370">
        <v>1.77</v>
      </c>
      <c r="L254" s="370">
        <f t="shared" ref="L254:L255" si="124">SUM(I254:K254)</f>
        <v>24.83</v>
      </c>
      <c r="M254" s="370">
        <f t="shared" ref="M254:M255" si="125">ROUND(I254*H254,2)</f>
        <v>6.11</v>
      </c>
      <c r="N254" s="370">
        <f t="shared" ref="N254:N255" si="126">ROUND(SUM(J254:K254)*H254,2)</f>
        <v>1.0900000000000001</v>
      </c>
      <c r="O254" s="370">
        <f t="shared" ref="O254:O255" si="127">SUM(M254:N254)</f>
        <v>7.2</v>
      </c>
    </row>
    <row r="255" spans="1:15" s="428" customFormat="1">
      <c r="A255" s="457" t="s">
        <v>114</v>
      </c>
      <c r="B255" s="445" t="s">
        <v>587</v>
      </c>
      <c r="C255" s="457" t="s">
        <v>332</v>
      </c>
      <c r="D255" s="457" t="s">
        <v>588</v>
      </c>
      <c r="E255" s="591" t="s">
        <v>111</v>
      </c>
      <c r="F255" s="591"/>
      <c r="G255" s="444" t="s">
        <v>25</v>
      </c>
      <c r="H255" s="446">
        <v>1</v>
      </c>
      <c r="I255" s="374">
        <v>0</v>
      </c>
      <c r="J255" s="374">
        <v>0</v>
      </c>
      <c r="K255" s="374">
        <v>42</v>
      </c>
      <c r="L255" s="374">
        <f t="shared" si="124"/>
        <v>42</v>
      </c>
      <c r="M255" s="374">
        <f t="shared" si="125"/>
        <v>0</v>
      </c>
      <c r="N255" s="374">
        <f t="shared" si="126"/>
        <v>42</v>
      </c>
      <c r="O255" s="374">
        <f t="shared" si="127"/>
        <v>42</v>
      </c>
    </row>
    <row r="256" spans="1:15" s="428" customFormat="1">
      <c r="A256" s="418"/>
      <c r="B256" s="418"/>
      <c r="C256" s="418"/>
      <c r="D256" s="418"/>
      <c r="E256" s="418"/>
      <c r="F256" s="180"/>
      <c r="G256" s="418"/>
      <c r="H256" s="180"/>
      <c r="I256" s="180"/>
      <c r="J256" s="180"/>
      <c r="K256" s="180"/>
      <c r="L256" s="418"/>
      <c r="M256" s="418"/>
      <c r="N256" s="418"/>
      <c r="O256" s="180"/>
    </row>
    <row r="257" spans="1:18" s="428" customFormat="1">
      <c r="A257" s="424"/>
      <c r="B257" s="424"/>
      <c r="C257" s="424"/>
      <c r="D257" s="424"/>
      <c r="E257" s="424"/>
      <c r="F257" s="180"/>
      <c r="G257" s="424"/>
      <c r="H257" s="180"/>
      <c r="I257" s="180"/>
      <c r="J257" s="180"/>
      <c r="K257" s="180"/>
      <c r="L257" s="424"/>
      <c r="M257" s="424"/>
      <c r="N257" s="424"/>
      <c r="O257" s="180"/>
    </row>
    <row r="258" spans="1:18" s="428" customFormat="1" ht="45">
      <c r="A258" s="419" t="s">
        <v>590</v>
      </c>
      <c r="B258" s="420" t="s">
        <v>8</v>
      </c>
      <c r="C258" s="419" t="s">
        <v>9</v>
      </c>
      <c r="D258" s="419" t="s">
        <v>10</v>
      </c>
      <c r="E258" s="547" t="s">
        <v>128</v>
      </c>
      <c r="F258" s="547"/>
      <c r="G258" s="421" t="s">
        <v>11</v>
      </c>
      <c r="H258" s="420" t="s">
        <v>12</v>
      </c>
      <c r="I258" s="420" t="s">
        <v>214</v>
      </c>
      <c r="J258" s="420" t="s">
        <v>215</v>
      </c>
      <c r="K258" s="420" t="s">
        <v>216</v>
      </c>
      <c r="L258" s="420" t="s">
        <v>13</v>
      </c>
      <c r="M258" s="420" t="s">
        <v>210</v>
      </c>
      <c r="N258" s="112" t="s">
        <v>211</v>
      </c>
      <c r="O258" s="420" t="s">
        <v>15</v>
      </c>
    </row>
    <row r="259" spans="1:18" s="428" customFormat="1" ht="25.5" customHeight="1">
      <c r="A259" s="458" t="s">
        <v>127</v>
      </c>
      <c r="B259" s="460" t="s">
        <v>592</v>
      </c>
      <c r="C259" s="458" t="s">
        <v>23</v>
      </c>
      <c r="D259" s="458" t="s">
        <v>593</v>
      </c>
      <c r="E259" s="594" t="s">
        <v>150</v>
      </c>
      <c r="F259" s="594"/>
      <c r="G259" s="459" t="s">
        <v>25</v>
      </c>
      <c r="H259" s="438">
        <v>1</v>
      </c>
      <c r="I259" s="432">
        <f>SUM(I260:I262)</f>
        <v>23.69</v>
      </c>
      <c r="J259" s="432">
        <f>SUM(J260:J261)</f>
        <v>2.0099999999999998</v>
      </c>
      <c r="K259" s="432">
        <f>SUM(K260:K261)</f>
        <v>60.59</v>
      </c>
      <c r="L259" s="432">
        <f>SUM(I259:K259)</f>
        <v>86.29</v>
      </c>
      <c r="M259" s="432">
        <f>SUM(M260:M261)</f>
        <v>4.74</v>
      </c>
      <c r="N259" s="432">
        <f>SUM(N260:N261)</f>
        <v>59.58</v>
      </c>
      <c r="O259" s="432">
        <f>SUM(O260:O261)</f>
        <v>64.319999999999993</v>
      </c>
    </row>
    <row r="260" spans="1:18" s="428" customFormat="1" ht="25.5">
      <c r="A260" s="456" t="s">
        <v>147</v>
      </c>
      <c r="B260" s="441" t="s">
        <v>167</v>
      </c>
      <c r="C260" s="456" t="s">
        <v>27</v>
      </c>
      <c r="D260" s="456" t="s">
        <v>166</v>
      </c>
      <c r="E260" s="590" t="s">
        <v>144</v>
      </c>
      <c r="F260" s="590"/>
      <c r="G260" s="440" t="s">
        <v>29</v>
      </c>
      <c r="H260" s="442">
        <v>0.2</v>
      </c>
      <c r="I260" s="370">
        <v>23.69</v>
      </c>
      <c r="J260" s="370">
        <v>2.0099999999999998</v>
      </c>
      <c r="K260" s="370">
        <v>1.77</v>
      </c>
      <c r="L260" s="370">
        <f>SUM(I260:K260)</f>
        <v>27.470000000000002</v>
      </c>
      <c r="M260" s="370">
        <f t="shared" ref="M260:M261" si="128">ROUND((I260*H260),2)</f>
        <v>4.74</v>
      </c>
      <c r="N260" s="370">
        <f t="shared" ref="N260:N261" si="129">ROUND((SUM(J260:K260))*H260,2)</f>
        <v>0.76</v>
      </c>
      <c r="O260" s="370">
        <f t="shared" ref="O260:O261" si="130">SUM(M260:N260)</f>
        <v>5.5</v>
      </c>
    </row>
    <row r="261" spans="1:18" s="428" customFormat="1">
      <c r="A261" s="457" t="s">
        <v>114</v>
      </c>
      <c r="B261" s="445" t="s">
        <v>594</v>
      </c>
      <c r="C261" s="457" t="s">
        <v>332</v>
      </c>
      <c r="D261" s="457" t="s">
        <v>522</v>
      </c>
      <c r="E261" s="591" t="s">
        <v>111</v>
      </c>
      <c r="F261" s="591"/>
      <c r="G261" s="444" t="s">
        <v>25</v>
      </c>
      <c r="H261" s="446">
        <v>1</v>
      </c>
      <c r="I261" s="374">
        <v>0</v>
      </c>
      <c r="J261" s="374">
        <v>0</v>
      </c>
      <c r="K261" s="374">
        <v>58.82</v>
      </c>
      <c r="L261" s="374">
        <f>SUM(I261:K261)</f>
        <v>58.82</v>
      </c>
      <c r="M261" s="374">
        <f t="shared" si="128"/>
        <v>0</v>
      </c>
      <c r="N261" s="374">
        <f t="shared" si="129"/>
        <v>58.82</v>
      </c>
      <c r="O261" s="374">
        <f t="shared" si="130"/>
        <v>58.82</v>
      </c>
    </row>
    <row r="262" spans="1:18" s="428" customFormat="1">
      <c r="A262" s="424"/>
      <c r="B262" s="424"/>
      <c r="C262" s="424"/>
      <c r="D262" s="424"/>
      <c r="E262" s="424"/>
      <c r="F262" s="180"/>
      <c r="G262" s="424"/>
      <c r="H262" s="180"/>
      <c r="I262" s="180"/>
      <c r="J262" s="180"/>
      <c r="K262" s="180"/>
      <c r="L262" s="424"/>
      <c r="M262" s="424"/>
      <c r="N262" s="424"/>
      <c r="O262" s="180"/>
    </row>
    <row r="263" spans="1:18" s="207" customFormat="1">
      <c r="A263" s="208"/>
      <c r="B263" s="208"/>
      <c r="C263" s="208"/>
      <c r="D263" s="208"/>
      <c r="E263" s="208"/>
      <c r="F263" s="180"/>
      <c r="G263" s="208"/>
      <c r="H263" s="180"/>
      <c r="I263" s="180"/>
      <c r="J263" s="180"/>
      <c r="K263" s="180"/>
      <c r="L263" s="208"/>
      <c r="M263" s="208"/>
      <c r="N263" s="208"/>
      <c r="O263" s="180"/>
    </row>
    <row r="264" spans="1:18" s="480" customFormat="1" ht="45">
      <c r="A264" s="478" t="s">
        <v>591</v>
      </c>
      <c r="B264" s="479" t="s">
        <v>8</v>
      </c>
      <c r="C264" s="478" t="s">
        <v>9</v>
      </c>
      <c r="D264" s="478" t="s">
        <v>10</v>
      </c>
      <c r="E264" s="592" t="s">
        <v>128</v>
      </c>
      <c r="F264" s="593"/>
      <c r="G264" s="477" t="s">
        <v>11</v>
      </c>
      <c r="H264" s="479" t="s">
        <v>12</v>
      </c>
      <c r="I264" s="479" t="s">
        <v>214</v>
      </c>
      <c r="J264" s="479" t="s">
        <v>215</v>
      </c>
      <c r="K264" s="479" t="s">
        <v>216</v>
      </c>
      <c r="L264" s="479" t="s">
        <v>13</v>
      </c>
      <c r="M264" s="479" t="s">
        <v>210</v>
      </c>
      <c r="N264" s="112" t="s">
        <v>211</v>
      </c>
      <c r="O264" s="479" t="s">
        <v>15</v>
      </c>
    </row>
    <row r="265" spans="1:18" s="480" customFormat="1" ht="14.25" customHeight="1">
      <c r="A265" s="483" t="s">
        <v>127</v>
      </c>
      <c r="B265" s="472" t="s">
        <v>595</v>
      </c>
      <c r="C265" s="483" t="s">
        <v>23</v>
      </c>
      <c r="D265" s="483" t="s">
        <v>596</v>
      </c>
      <c r="E265" s="594" t="s">
        <v>150</v>
      </c>
      <c r="F265" s="594"/>
      <c r="G265" s="471" t="s">
        <v>25</v>
      </c>
      <c r="H265" s="438">
        <v>1</v>
      </c>
      <c r="I265" s="473">
        <f t="shared" ref="I265:O265" si="131">SUM(I266:I268)</f>
        <v>49.87</v>
      </c>
      <c r="J265" s="473">
        <f t="shared" si="131"/>
        <v>4</v>
      </c>
      <c r="K265" s="473">
        <f t="shared" si="131"/>
        <v>55.17</v>
      </c>
      <c r="L265" s="473">
        <f>SUM(L266:L268)</f>
        <v>109.03999999999999</v>
      </c>
      <c r="M265" s="473">
        <f t="shared" si="131"/>
        <v>39.900000000000006</v>
      </c>
      <c r="N265" s="473">
        <f t="shared" si="131"/>
        <v>57.67</v>
      </c>
      <c r="O265" s="473">
        <f t="shared" si="131"/>
        <v>97.57</v>
      </c>
    </row>
    <row r="266" spans="1:18" s="480" customFormat="1" ht="25.5">
      <c r="A266" s="481" t="s">
        <v>147</v>
      </c>
      <c r="B266" s="441" t="s">
        <v>149</v>
      </c>
      <c r="C266" s="481" t="s">
        <v>27</v>
      </c>
      <c r="D266" s="481" t="s">
        <v>148</v>
      </c>
      <c r="E266" s="590" t="s">
        <v>144</v>
      </c>
      <c r="F266" s="590"/>
      <c r="G266" s="440" t="s">
        <v>29</v>
      </c>
      <c r="H266" s="442">
        <v>0.8</v>
      </c>
      <c r="I266" s="370">
        <v>28.81</v>
      </c>
      <c r="J266" s="370">
        <v>2</v>
      </c>
      <c r="K266" s="370">
        <v>1.77</v>
      </c>
      <c r="L266" s="370">
        <f>SUM(I266:K266)</f>
        <v>32.58</v>
      </c>
      <c r="M266" s="370">
        <f>ROUND(I266*H266,2)</f>
        <v>23.05</v>
      </c>
      <c r="N266" s="370">
        <f>ROUND(SUM(J266:K266)*H266,2)</f>
        <v>3.02</v>
      </c>
      <c r="O266" s="370">
        <f>SUM(M266:N266)</f>
        <v>26.07</v>
      </c>
    </row>
    <row r="267" spans="1:18" s="480" customFormat="1" ht="25.5">
      <c r="A267" s="481" t="s">
        <v>147</v>
      </c>
      <c r="B267" s="441" t="s">
        <v>146</v>
      </c>
      <c r="C267" s="481" t="s">
        <v>27</v>
      </c>
      <c r="D267" s="481" t="s">
        <v>145</v>
      </c>
      <c r="E267" s="590" t="s">
        <v>144</v>
      </c>
      <c r="F267" s="590"/>
      <c r="G267" s="440" t="s">
        <v>29</v>
      </c>
      <c r="H267" s="442">
        <v>0.8</v>
      </c>
      <c r="I267" s="370">
        <v>21.06</v>
      </c>
      <c r="J267" s="370">
        <v>2</v>
      </c>
      <c r="K267" s="370">
        <v>1.77</v>
      </c>
      <c r="L267" s="370">
        <f t="shared" ref="L267:L268" si="132">SUM(I267:K267)</f>
        <v>24.83</v>
      </c>
      <c r="M267" s="370">
        <f t="shared" ref="M267:M268" si="133">ROUND(I267*H267,2)</f>
        <v>16.850000000000001</v>
      </c>
      <c r="N267" s="370">
        <f t="shared" ref="N267:N268" si="134">ROUND(SUM(J267:K267)*H267,2)</f>
        <v>3.02</v>
      </c>
      <c r="O267" s="370">
        <f t="shared" ref="O267:O268" si="135">SUM(M267:N267)</f>
        <v>19.87</v>
      </c>
    </row>
    <row r="268" spans="1:18" s="480" customFormat="1">
      <c r="A268" s="482" t="s">
        <v>114</v>
      </c>
      <c r="B268" s="445" t="s">
        <v>597</v>
      </c>
      <c r="C268" s="482" t="s">
        <v>332</v>
      </c>
      <c r="D268" s="482" t="s">
        <v>598</v>
      </c>
      <c r="E268" s="591" t="s">
        <v>111</v>
      </c>
      <c r="F268" s="591"/>
      <c r="G268" s="444" t="s">
        <v>25</v>
      </c>
      <c r="H268" s="446">
        <v>1</v>
      </c>
      <c r="I268" s="374">
        <v>0</v>
      </c>
      <c r="J268" s="374">
        <v>0</v>
      </c>
      <c r="K268" s="374">
        <v>51.63</v>
      </c>
      <c r="L268" s="374">
        <f t="shared" si="132"/>
        <v>51.63</v>
      </c>
      <c r="M268" s="374">
        <f t="shared" si="133"/>
        <v>0</v>
      </c>
      <c r="N268" s="374">
        <f t="shared" si="134"/>
        <v>51.63</v>
      </c>
      <c r="O268" s="374">
        <f t="shared" si="135"/>
        <v>51.63</v>
      </c>
    </row>
    <row r="269" spans="1:18" s="480" customFormat="1">
      <c r="A269" s="484"/>
      <c r="B269" s="484"/>
      <c r="C269" s="484"/>
      <c r="D269" s="484"/>
      <c r="E269" s="484"/>
      <c r="F269" s="180"/>
      <c r="G269" s="484"/>
      <c r="H269" s="180"/>
      <c r="I269" s="180"/>
      <c r="J269" s="180"/>
      <c r="K269" s="180"/>
      <c r="L269" s="484"/>
      <c r="M269" s="484"/>
      <c r="N269" s="484"/>
      <c r="O269" s="180"/>
    </row>
    <row r="270" spans="1:18" s="480" customFormat="1">
      <c r="A270" s="484"/>
      <c r="B270" s="484"/>
      <c r="C270" s="484"/>
      <c r="D270" s="484"/>
      <c r="E270" s="484"/>
      <c r="F270" s="180"/>
      <c r="G270" s="484"/>
      <c r="H270" s="180"/>
      <c r="I270" s="180"/>
      <c r="J270" s="180"/>
      <c r="K270" s="180"/>
      <c r="L270" s="484"/>
      <c r="M270" s="484"/>
      <c r="N270" s="484"/>
      <c r="O270" s="180"/>
    </row>
    <row r="271" spans="1:18" s="158" customFormat="1" ht="45">
      <c r="A271" s="419" t="s">
        <v>619</v>
      </c>
      <c r="B271" s="420" t="s">
        <v>8</v>
      </c>
      <c r="C271" s="419" t="s">
        <v>9</v>
      </c>
      <c r="D271" s="419" t="s">
        <v>10</v>
      </c>
      <c r="E271" s="592" t="s">
        <v>128</v>
      </c>
      <c r="F271" s="593"/>
      <c r="G271" s="421" t="s">
        <v>11</v>
      </c>
      <c r="H271" s="420" t="s">
        <v>12</v>
      </c>
      <c r="I271" s="420" t="s">
        <v>214</v>
      </c>
      <c r="J271" s="420" t="s">
        <v>215</v>
      </c>
      <c r="K271" s="420" t="s">
        <v>216</v>
      </c>
      <c r="L271" s="420" t="s">
        <v>13</v>
      </c>
      <c r="M271" s="420" t="s">
        <v>210</v>
      </c>
      <c r="N271" s="112" t="s">
        <v>211</v>
      </c>
      <c r="O271" s="420" t="s">
        <v>15</v>
      </c>
    </row>
    <row r="272" spans="1:18" s="158" customFormat="1" ht="24" customHeight="1">
      <c r="A272" s="483" t="s">
        <v>127</v>
      </c>
      <c r="B272" s="483" t="s">
        <v>627</v>
      </c>
      <c r="C272" s="483" t="s">
        <v>23</v>
      </c>
      <c r="D272" s="483" t="s">
        <v>620</v>
      </c>
      <c r="E272" s="588"/>
      <c r="F272" s="589"/>
      <c r="G272" s="491" t="s">
        <v>36</v>
      </c>
      <c r="H272" s="473">
        <v>1</v>
      </c>
      <c r="I272" s="473">
        <f>SUM(I273:I276)</f>
        <v>15.39</v>
      </c>
      <c r="J272" s="473">
        <f>SUM(J273:J276)</f>
        <v>1.84</v>
      </c>
      <c r="K272" s="473">
        <f>SUM(K273:K274)</f>
        <v>19.419999999999998</v>
      </c>
      <c r="L272" s="473">
        <f>SUM(L273:L274)</f>
        <v>36.65</v>
      </c>
      <c r="M272" s="473">
        <f>SUM(M273:M274)</f>
        <v>1.54</v>
      </c>
      <c r="N272" s="473">
        <f>SUM(N273:N274)</f>
        <v>1.1400000000000001</v>
      </c>
      <c r="O272" s="473">
        <f>SUM(O273:O274)</f>
        <v>2.6799999999999997</v>
      </c>
      <c r="P272" s="480"/>
      <c r="Q272" s="480"/>
      <c r="R272" s="480"/>
    </row>
    <row r="273" spans="1:15" s="158" customFormat="1" ht="25.5">
      <c r="A273" s="481" t="s">
        <v>147</v>
      </c>
      <c r="B273" s="441" t="s">
        <v>156</v>
      </c>
      <c r="C273" s="481" t="s">
        <v>27</v>
      </c>
      <c r="D273" s="481" t="s">
        <v>155</v>
      </c>
      <c r="E273" s="590" t="s">
        <v>144</v>
      </c>
      <c r="F273" s="590"/>
      <c r="G273" s="440" t="s">
        <v>29</v>
      </c>
      <c r="H273" s="442">
        <v>0.1</v>
      </c>
      <c r="I273" s="370">
        <v>15.39</v>
      </c>
      <c r="J273" s="370">
        <v>1.84</v>
      </c>
      <c r="K273" s="370">
        <v>1.77</v>
      </c>
      <c r="L273" s="370">
        <f t="shared" ref="L273:L274" si="136">SUM(I273:K273)</f>
        <v>19</v>
      </c>
      <c r="M273" s="370">
        <f t="shared" ref="M273:M274" si="137">ROUND(I273*H273,2)</f>
        <v>1.54</v>
      </c>
      <c r="N273" s="370">
        <f t="shared" ref="N273:N274" si="138">ROUND(SUM(J273:K273)*H273,2)</f>
        <v>0.36</v>
      </c>
      <c r="O273" s="370">
        <f t="shared" ref="O273:O274" si="139">SUM(M273:N273)</f>
        <v>1.9</v>
      </c>
    </row>
    <row r="274" spans="1:15" s="158" customFormat="1" ht="15" thickBot="1">
      <c r="A274" s="482" t="s">
        <v>114</v>
      </c>
      <c r="B274" s="445" t="s">
        <v>178</v>
      </c>
      <c r="C274" s="482" t="s">
        <v>27</v>
      </c>
      <c r="D274" s="482" t="s">
        <v>621</v>
      </c>
      <c r="E274" s="591" t="s">
        <v>111</v>
      </c>
      <c r="F274" s="591"/>
      <c r="G274" s="444" t="s">
        <v>622</v>
      </c>
      <c r="H274" s="446">
        <v>4.3999999999999997E-2</v>
      </c>
      <c r="I274" s="374">
        <v>0</v>
      </c>
      <c r="J274" s="374">
        <v>0</v>
      </c>
      <c r="K274" s="374">
        <v>17.649999999999999</v>
      </c>
      <c r="L274" s="374">
        <f t="shared" si="136"/>
        <v>17.649999999999999</v>
      </c>
      <c r="M274" s="374">
        <f t="shared" si="137"/>
        <v>0</v>
      </c>
      <c r="N274" s="374">
        <f t="shared" si="138"/>
        <v>0.78</v>
      </c>
      <c r="O274" s="374">
        <f t="shared" si="139"/>
        <v>0.78</v>
      </c>
    </row>
    <row r="275" spans="1:15" ht="0.95" customHeight="1" thickTop="1">
      <c r="A275" s="39"/>
      <c r="B275" s="39"/>
      <c r="C275" s="39"/>
      <c r="D275" s="39"/>
      <c r="E275" s="39"/>
      <c r="F275" s="39"/>
      <c r="G275" s="39"/>
      <c r="H275" s="39"/>
      <c r="I275" s="39"/>
      <c r="J275" s="39"/>
      <c r="K275" s="39"/>
      <c r="L275" s="39"/>
      <c r="M275" s="39"/>
      <c r="N275" s="39"/>
      <c r="O275" s="39"/>
    </row>
    <row r="276" spans="1:15" ht="19.5" customHeight="1">
      <c r="A276" s="545"/>
      <c r="B276" s="546"/>
      <c r="C276" s="546"/>
      <c r="D276" s="546"/>
      <c r="E276" s="546"/>
      <c r="F276" s="546"/>
      <c r="G276" s="546"/>
      <c r="H276" s="546"/>
      <c r="I276" s="546"/>
      <c r="J276" s="546"/>
      <c r="K276" s="546"/>
      <c r="L276" s="546"/>
      <c r="M276" s="546"/>
      <c r="N276" s="546"/>
      <c r="O276" s="546"/>
    </row>
    <row r="277" spans="1:15" s="475" customFormat="1" ht="69.95" customHeight="1">
      <c r="A277" s="599" t="s">
        <v>693</v>
      </c>
      <c r="B277" s="599"/>
      <c r="C277" s="599"/>
      <c r="D277" s="599"/>
      <c r="E277" s="599"/>
      <c r="F277" s="599"/>
      <c r="G277" s="599"/>
      <c r="H277" s="599"/>
      <c r="I277" s="599"/>
      <c r="J277" s="599"/>
      <c r="K277" s="599"/>
      <c r="L277" s="599"/>
      <c r="M277" s="599"/>
      <c r="N277" s="599"/>
      <c r="O277" s="599"/>
    </row>
    <row r="278" spans="1:15" s="475" customFormat="1"/>
  </sheetData>
  <mergeCells count="219">
    <mergeCell ref="E87:F87"/>
    <mergeCell ref="E97:F97"/>
    <mergeCell ref="E104:F104"/>
    <mergeCell ref="E40:F40"/>
    <mergeCell ref="E42:F42"/>
    <mergeCell ref="E43:F43"/>
    <mergeCell ref="E41:F41"/>
    <mergeCell ref="E84:F84"/>
    <mergeCell ref="E85:F85"/>
    <mergeCell ref="E86:F86"/>
    <mergeCell ref="E51:F51"/>
    <mergeCell ref="E55:F55"/>
    <mergeCell ref="E56:F56"/>
    <mergeCell ref="E57:F57"/>
    <mergeCell ref="E58:F58"/>
    <mergeCell ref="E80:F80"/>
    <mergeCell ref="E81:F81"/>
    <mergeCell ref="E82:F82"/>
    <mergeCell ref="E95:F95"/>
    <mergeCell ref="E102:F102"/>
    <mergeCell ref="E103:F103"/>
    <mergeCell ref="E128:F128"/>
    <mergeCell ref="E105:F105"/>
    <mergeCell ref="E106:F106"/>
    <mergeCell ref="E111:F111"/>
    <mergeCell ref="E124:F124"/>
    <mergeCell ref="E110:F110"/>
    <mergeCell ref="H166:L166"/>
    <mergeCell ref="E167:F167"/>
    <mergeCell ref="E114:F114"/>
    <mergeCell ref="E146:F146"/>
    <mergeCell ref="E149:F149"/>
    <mergeCell ref="E150:F150"/>
    <mergeCell ref="E147:F147"/>
    <mergeCell ref="E148:F148"/>
    <mergeCell ref="E155:F155"/>
    <mergeCell ref="E131:F131"/>
    <mergeCell ref="E91:F91"/>
    <mergeCell ref="E92:F92"/>
    <mergeCell ref="E93:F93"/>
    <mergeCell ref="H152:L152"/>
    <mergeCell ref="E153:F153"/>
    <mergeCell ref="E154:F154"/>
    <mergeCell ref="E156:F156"/>
    <mergeCell ref="E157:F157"/>
    <mergeCell ref="E132:F132"/>
    <mergeCell ref="E140:F140"/>
    <mergeCell ref="E142:F142"/>
    <mergeCell ref="E145:F145"/>
    <mergeCell ref="E138:F138"/>
    <mergeCell ref="E139:F139"/>
    <mergeCell ref="E98:F98"/>
    <mergeCell ref="E99:F99"/>
    <mergeCell ref="E126:F126"/>
    <mergeCell ref="E109:F109"/>
    <mergeCell ref="E100:F100"/>
    <mergeCell ref="E101:F101"/>
    <mergeCell ref="E125:F125"/>
    <mergeCell ref="E141:F141"/>
    <mergeCell ref="E127:F127"/>
    <mergeCell ref="A277:O277"/>
    <mergeCell ref="E173:F173"/>
    <mergeCell ref="E174:F174"/>
    <mergeCell ref="E175:F175"/>
    <mergeCell ref="A276:O276"/>
    <mergeCell ref="E271:F271"/>
    <mergeCell ref="E178:F178"/>
    <mergeCell ref="E181:F181"/>
    <mergeCell ref="E182:F182"/>
    <mergeCell ref="E179:F179"/>
    <mergeCell ref="E185:F185"/>
    <mergeCell ref="E186:F186"/>
    <mergeCell ref="E187:F187"/>
    <mergeCell ref="E193:F193"/>
    <mergeCell ref="E232:F232"/>
    <mergeCell ref="E233:F233"/>
    <mergeCell ref="E253:F253"/>
    <mergeCell ref="E254:F254"/>
    <mergeCell ref="E255:F255"/>
    <mergeCell ref="E180:F180"/>
    <mergeCell ref="E239:F239"/>
    <mergeCell ref="E240:F240"/>
    <mergeCell ref="E241:F241"/>
    <mergeCell ref="E188:F188"/>
    <mergeCell ref="E170:F170"/>
    <mergeCell ref="E169:F169"/>
    <mergeCell ref="E196:F196"/>
    <mergeCell ref="E197:F197"/>
    <mergeCell ref="E171:F171"/>
    <mergeCell ref="E172:F172"/>
    <mergeCell ref="E189:F189"/>
    <mergeCell ref="E190:F190"/>
    <mergeCell ref="E158:F158"/>
    <mergeCell ref="E162:F162"/>
    <mergeCell ref="E163:F163"/>
    <mergeCell ref="E164:F164"/>
    <mergeCell ref="E160:F160"/>
    <mergeCell ref="E161:F161"/>
    <mergeCell ref="E159:F159"/>
    <mergeCell ref="E168:F168"/>
    <mergeCell ref="E35:F35"/>
    <mergeCell ref="H45:L45"/>
    <mergeCell ref="E19:F19"/>
    <mergeCell ref="H70:L70"/>
    <mergeCell ref="E94:F94"/>
    <mergeCell ref="H115:L115"/>
    <mergeCell ref="E72:F72"/>
    <mergeCell ref="E73:F73"/>
    <mergeCell ref="E74:F74"/>
    <mergeCell ref="H76:L76"/>
    <mergeCell ref="E78:F78"/>
    <mergeCell ref="E60:F60"/>
    <mergeCell ref="E68:F68"/>
    <mergeCell ref="E63:F63"/>
    <mergeCell ref="E64:F64"/>
    <mergeCell ref="E65:F65"/>
    <mergeCell ref="E66:F66"/>
    <mergeCell ref="E67:F67"/>
    <mergeCell ref="E61:F61"/>
    <mergeCell ref="E62:F62"/>
    <mergeCell ref="E79:F79"/>
    <mergeCell ref="E34:F34"/>
    <mergeCell ref="E22:F22"/>
    <mergeCell ref="H89:L89"/>
    <mergeCell ref="A3:O3"/>
    <mergeCell ref="E16:F16"/>
    <mergeCell ref="E17:F17"/>
    <mergeCell ref="C1:D1"/>
    <mergeCell ref="E1:F1"/>
    <mergeCell ref="G1:H1"/>
    <mergeCell ref="L1:O1"/>
    <mergeCell ref="C2:D2"/>
    <mergeCell ref="E2:F2"/>
    <mergeCell ref="G2:H2"/>
    <mergeCell ref="L2:Q2"/>
    <mergeCell ref="A4:O4"/>
    <mergeCell ref="E10:F10"/>
    <mergeCell ref="E11:F11"/>
    <mergeCell ref="E12:F12"/>
    <mergeCell ref="E13:F13"/>
    <mergeCell ref="E14:F14"/>
    <mergeCell ref="E15:F15"/>
    <mergeCell ref="E5:F5"/>
    <mergeCell ref="E6:F6"/>
    <mergeCell ref="E7:F7"/>
    <mergeCell ref="E36:F36"/>
    <mergeCell ref="E37:F37"/>
    <mergeCell ref="E20:F20"/>
    <mergeCell ref="E123:F123"/>
    <mergeCell ref="E23:F23"/>
    <mergeCell ref="E27:F27"/>
    <mergeCell ref="E28:F28"/>
    <mergeCell ref="E31:F31"/>
    <mergeCell ref="E32:F32"/>
    <mergeCell ref="E26:F26"/>
    <mergeCell ref="E30:F30"/>
    <mergeCell ref="E53:F53"/>
    <mergeCell ref="E54:F54"/>
    <mergeCell ref="E21:F21"/>
    <mergeCell ref="E117:F117"/>
    <mergeCell ref="E118:F118"/>
    <mergeCell ref="E119:F119"/>
    <mergeCell ref="E120:F120"/>
    <mergeCell ref="E48:F48"/>
    <mergeCell ref="E49:F49"/>
    <mergeCell ref="E50:F50"/>
    <mergeCell ref="E112:F112"/>
    <mergeCell ref="E113:F113"/>
    <mergeCell ref="E47:F47"/>
    <mergeCell ref="E247:F247"/>
    <mergeCell ref="E248:F248"/>
    <mergeCell ref="E251:F251"/>
    <mergeCell ref="E258:F258"/>
    <mergeCell ref="E259:F259"/>
    <mergeCell ref="E209:F209"/>
    <mergeCell ref="E210:F210"/>
    <mergeCell ref="E211:F211"/>
    <mergeCell ref="E252:F252"/>
    <mergeCell ref="E237:F237"/>
    <mergeCell ref="E238:F238"/>
    <mergeCell ref="E234:F234"/>
    <mergeCell ref="E235:F235"/>
    <mergeCell ref="E215:F215"/>
    <mergeCell ref="E216:F216"/>
    <mergeCell ref="E214:F214"/>
    <mergeCell ref="E226:F226"/>
    <mergeCell ref="E228:F228"/>
    <mergeCell ref="E229:F229"/>
    <mergeCell ref="E227:F227"/>
    <mergeCell ref="E222:F222"/>
    <mergeCell ref="E223:F223"/>
    <mergeCell ref="E217:F217"/>
    <mergeCell ref="E242:F242"/>
    <mergeCell ref="E243:F243"/>
    <mergeCell ref="E245:F245"/>
    <mergeCell ref="E246:F246"/>
    <mergeCell ref="E194:F194"/>
    <mergeCell ref="E195:F195"/>
    <mergeCell ref="E201:F201"/>
    <mergeCell ref="E202:F202"/>
    <mergeCell ref="E203:F203"/>
    <mergeCell ref="E204:F204"/>
    <mergeCell ref="E208:F208"/>
    <mergeCell ref="E218:F218"/>
    <mergeCell ref="E219:F219"/>
    <mergeCell ref="E220:F220"/>
    <mergeCell ref="E221:F221"/>
    <mergeCell ref="E200:F200"/>
    <mergeCell ref="E207:F207"/>
    <mergeCell ref="E272:F272"/>
    <mergeCell ref="E273:F273"/>
    <mergeCell ref="E274:F274"/>
    <mergeCell ref="E260:F260"/>
    <mergeCell ref="E261:F261"/>
    <mergeCell ref="E264:F264"/>
    <mergeCell ref="E265:F265"/>
    <mergeCell ref="E266:F266"/>
    <mergeCell ref="E267:F267"/>
    <mergeCell ref="E268:F268"/>
  </mergeCells>
  <pageMargins left="0.51181102362204722" right="0.51181102362204722" top="0.98425196850393704" bottom="0.98425196850393704" header="0.51181102362204722" footer="0.51181102362204722"/>
  <pageSetup paperSize="9" scale="46" fitToHeight="0" orientation="landscape" r:id="rId1"/>
  <headerFooter>
    <oddHeader>&amp;L &amp;CTRIBUNAL REGIONAL DO TRABALHO DA 12 REGIAO
CNPJ: 02.482.005/0001-23 &amp;R</oddHeader>
    <oddFooter xml:space="preserve">&amp;L &amp;CRua Esteves Júnior  - Centro - Florianópolis / SC
 / cpo@trt12.jus.br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"/>
  <sheetViews>
    <sheetView workbookViewId="0">
      <selection activeCell="F21" sqref="F21"/>
    </sheetView>
  </sheetViews>
  <sheetFormatPr defaultColWidth="9" defaultRowHeight="14.25"/>
  <cols>
    <col min="1" max="1" width="15.125" style="59" customWidth="1"/>
    <col min="2" max="2" width="9" style="59"/>
    <col min="3" max="3" width="27.875" style="59" customWidth="1"/>
    <col min="4" max="4" width="6.125" style="59" customWidth="1"/>
    <col min="5" max="5" width="6.625" style="59" customWidth="1"/>
    <col min="6" max="7" width="9" style="59"/>
    <col min="8" max="8" width="6.875" style="59" customWidth="1"/>
    <col min="9" max="9" width="12.25" style="59" customWidth="1"/>
    <col min="10" max="11" width="9" style="59"/>
    <col min="12" max="12" width="10.375" style="59" customWidth="1"/>
    <col min="13" max="13" width="10.625" style="59" customWidth="1"/>
    <col min="14" max="16384" width="9" style="59"/>
  </cols>
  <sheetData>
    <row r="1" spans="1:14" s="364" customFormat="1" ht="15.75" thickBot="1">
      <c r="D1" s="253" t="s">
        <v>462</v>
      </c>
    </row>
    <row r="2" spans="1:14" ht="45.75" thickBot="1">
      <c r="A2" s="90"/>
      <c r="B2" s="91"/>
      <c r="C2" s="91" t="s">
        <v>96</v>
      </c>
      <c r="D2" s="92" t="s">
        <v>190</v>
      </c>
      <c r="E2" s="92" t="s">
        <v>191</v>
      </c>
      <c r="F2" s="92" t="s">
        <v>192</v>
      </c>
      <c r="G2" s="92" t="s">
        <v>193</v>
      </c>
      <c r="H2" s="92" t="s">
        <v>194</v>
      </c>
      <c r="I2" s="92" t="s">
        <v>195</v>
      </c>
      <c r="J2" s="92" t="s">
        <v>196</v>
      </c>
      <c r="K2" s="93" t="s">
        <v>197</v>
      </c>
      <c r="L2" s="93" t="s">
        <v>198</v>
      </c>
      <c r="M2" s="92" t="s">
        <v>199</v>
      </c>
      <c r="N2" s="92" t="s">
        <v>200</v>
      </c>
    </row>
    <row r="3" spans="1:14" ht="22.5">
      <c r="A3" s="94" t="s">
        <v>201</v>
      </c>
      <c r="B3" s="95">
        <v>90777</v>
      </c>
      <c r="C3" s="96" t="s">
        <v>28</v>
      </c>
      <c r="D3" s="97" t="s">
        <v>202</v>
      </c>
      <c r="E3" s="98">
        <v>4</v>
      </c>
      <c r="F3" s="99">
        <v>5</v>
      </c>
      <c r="G3" s="100">
        <f>365/12/7</f>
        <v>4.3452380952380958</v>
      </c>
      <c r="H3" s="100">
        <f>F3*G3</f>
        <v>21.726190476190478</v>
      </c>
      <c r="I3" s="101">
        <v>94.76</v>
      </c>
      <c r="J3" s="102">
        <v>1.93</v>
      </c>
      <c r="K3" s="103">
        <v>0.85489999999999999</v>
      </c>
      <c r="L3" s="104">
        <v>0.47839999999999999</v>
      </c>
      <c r="M3" s="105">
        <f>($H3*I3/(1+$K3))*(1+$L3)</f>
        <v>1640.892339209661</v>
      </c>
      <c r="N3" s="105">
        <f>($H3*J3/(1+$K3))*(1+$L3)</f>
        <v>33.420453932826568</v>
      </c>
    </row>
    <row r="4" spans="1:14" ht="22.5">
      <c r="A4" s="94" t="s">
        <v>203</v>
      </c>
      <c r="B4" s="95">
        <v>90776</v>
      </c>
      <c r="C4" s="96" t="s">
        <v>31</v>
      </c>
      <c r="D4" s="97" t="s">
        <v>202</v>
      </c>
      <c r="E4" s="98">
        <v>4</v>
      </c>
      <c r="F4" s="99">
        <v>40</v>
      </c>
      <c r="G4" s="100">
        <f>365/12/7</f>
        <v>4.3452380952380958</v>
      </c>
      <c r="H4" s="100">
        <f>F4*G4</f>
        <v>173.80952380952382</v>
      </c>
      <c r="I4" s="101">
        <v>30.5</v>
      </c>
      <c r="J4" s="101">
        <v>2.4900000000000002</v>
      </c>
      <c r="K4" s="103">
        <v>0.85489999999999999</v>
      </c>
      <c r="L4" s="104">
        <f>L3</f>
        <v>0.47839999999999999</v>
      </c>
      <c r="M4" s="105">
        <f>($H4*I4/(1+$K4))*(1+$L4)</f>
        <v>4225.1765593832561</v>
      </c>
      <c r="N4" s="105">
        <f>($H4*J4/(1+$K4))*(1+$L4)</f>
        <v>344.94064370046902</v>
      </c>
    </row>
  </sheetData>
  <pageMargins left="0.23622047244094491" right="0.19685039370078741" top="0.78740157480314965" bottom="0.78740157480314965" header="0.31496062992125984" footer="0.31496062992125984"/>
  <pageSetup paperSize="9" scale="90" orientation="landscape" horizontalDpi="4294967294" verticalDpi="4294967294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workbookViewId="0">
      <selection activeCell="J10" sqref="J10"/>
    </sheetView>
  </sheetViews>
  <sheetFormatPr defaultRowHeight="14.25"/>
  <cols>
    <col min="2" max="2" width="14.375" bestFit="1" customWidth="1"/>
    <col min="3" max="3" width="18.5" customWidth="1"/>
    <col min="8" max="8" width="20.375" customWidth="1"/>
    <col min="9" max="9" width="11.875" customWidth="1"/>
  </cols>
  <sheetData>
    <row r="1" spans="1:9" s="229" customFormat="1" ht="15">
      <c r="A1" s="606" t="s">
        <v>662</v>
      </c>
      <c r="B1" s="606"/>
      <c r="C1" s="606"/>
      <c r="D1" s="606"/>
      <c r="F1" s="606" t="s">
        <v>663</v>
      </c>
      <c r="G1" s="606"/>
      <c r="H1" s="606"/>
      <c r="I1" s="606"/>
    </row>
    <row r="2" spans="1:9">
      <c r="A2" s="604" t="s">
        <v>270</v>
      </c>
      <c r="B2" s="604"/>
      <c r="C2" s="604"/>
      <c r="D2" s="167">
        <v>74</v>
      </c>
      <c r="F2" s="604" t="s">
        <v>664</v>
      </c>
      <c r="G2" s="604"/>
      <c r="H2" s="604"/>
      <c r="I2" s="170">
        <v>183</v>
      </c>
    </row>
    <row r="3" spans="1:9">
      <c r="A3" s="604" t="s">
        <v>334</v>
      </c>
      <c r="B3" s="604"/>
      <c r="C3" s="604"/>
      <c r="D3" s="167">
        <v>482.9</v>
      </c>
      <c r="F3" s="604" t="s">
        <v>665</v>
      </c>
      <c r="G3" s="604"/>
      <c r="H3" s="604"/>
      <c r="I3" s="170">
        <v>482.9</v>
      </c>
    </row>
    <row r="4" spans="1:9">
      <c r="A4" s="604" t="s">
        <v>271</v>
      </c>
      <c r="B4" s="604"/>
      <c r="C4" s="604"/>
      <c r="D4" s="168">
        <f>D2/D3</f>
        <v>0.15324083661213503</v>
      </c>
      <c r="F4" s="604" t="s">
        <v>666</v>
      </c>
      <c r="G4" s="604"/>
      <c r="H4" s="604"/>
      <c r="I4" s="509">
        <f>I2/I3</f>
        <v>0.37896044729757716</v>
      </c>
    </row>
    <row r="5" spans="1:9">
      <c r="A5" s="604" t="s">
        <v>272</v>
      </c>
      <c r="B5" s="604"/>
      <c r="C5" s="604"/>
      <c r="D5" s="167">
        <v>395.2</v>
      </c>
      <c r="F5" s="604" t="s">
        <v>272</v>
      </c>
      <c r="G5" s="604"/>
      <c r="H5" s="604"/>
      <c r="I5" s="170">
        <v>395.2</v>
      </c>
    </row>
    <row r="6" spans="1:9" ht="31.5" customHeight="1">
      <c r="A6" s="605" t="s">
        <v>273</v>
      </c>
      <c r="B6" s="605"/>
      <c r="C6" s="605"/>
      <c r="D6" s="169">
        <f>D5*D4</f>
        <v>60.560778629115759</v>
      </c>
      <c r="F6" s="605" t="s">
        <v>667</v>
      </c>
      <c r="G6" s="605"/>
      <c r="H6" s="605"/>
      <c r="I6" s="171">
        <f>I5*I4</f>
        <v>149.76516877200248</v>
      </c>
    </row>
    <row r="7" spans="1:9">
      <c r="A7" s="604" t="s">
        <v>281</v>
      </c>
      <c r="B7" s="604"/>
      <c r="C7" s="604"/>
      <c r="D7" s="171">
        <f>SUM(D6,D2)</f>
        <v>134.56077862911576</v>
      </c>
      <c r="F7" s="604" t="s">
        <v>668</v>
      </c>
      <c r="G7" s="604"/>
      <c r="H7" s="604"/>
      <c r="I7" s="171">
        <f>I6+I2</f>
        <v>332.76516877200248</v>
      </c>
    </row>
  </sheetData>
  <mergeCells count="14">
    <mergeCell ref="F5:H5"/>
    <mergeCell ref="F6:H6"/>
    <mergeCell ref="F7:H7"/>
    <mergeCell ref="A1:D1"/>
    <mergeCell ref="F1:I1"/>
    <mergeCell ref="F2:H2"/>
    <mergeCell ref="F3:H3"/>
    <mergeCell ref="F4:H4"/>
    <mergeCell ref="A7:C7"/>
    <mergeCell ref="A2:C2"/>
    <mergeCell ref="A3:C3"/>
    <mergeCell ref="A4:C4"/>
    <mergeCell ref="A5:C5"/>
    <mergeCell ref="A6:C6"/>
  </mergeCells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25" sqref="K25"/>
    </sheetView>
  </sheetViews>
  <sheetFormatPr defaultRowHeight="14.25"/>
  <sheetData>
    <row r="1" s="364" customFormat="1"/>
  </sheetData>
  <printOptions horizontalCentered="1"/>
  <pageMargins left="0.51181102362204722" right="0.51181102362204722" top="0.78740157480314965" bottom="0.78740157480314965" header="0.31496062992125984" footer="0.31496062992125984"/>
  <pageSetup paperSize="9" orientation="portrait" horizontalDpi="4294967294" verticalDpi="4294967294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AK33"/>
  <sheetViews>
    <sheetView view="pageBreakPreview" zoomScaleNormal="65" zoomScaleSheetLayoutView="100" workbookViewId="0">
      <selection activeCell="D17" sqref="D17"/>
    </sheetView>
  </sheetViews>
  <sheetFormatPr defaultColWidth="8" defaultRowHeight="15"/>
  <cols>
    <col min="1" max="1" width="7.625" style="1" customWidth="1"/>
    <col min="2" max="2" width="5.25" style="37" customWidth="1"/>
    <col min="3" max="3" width="27.75" style="37" customWidth="1"/>
    <col min="4" max="4" width="9.25" style="37" customWidth="1"/>
    <col min="5" max="5" width="14.875" style="37" customWidth="1"/>
    <col min="6" max="6" width="8.875" style="1" customWidth="1"/>
    <col min="7" max="7" width="9.375" style="1" customWidth="1"/>
    <col min="8" max="37" width="7.5" style="1" customWidth="1"/>
    <col min="38" max="1019" width="7.5" style="37" customWidth="1"/>
    <col min="1020" max="16384" width="8" style="37"/>
  </cols>
  <sheetData>
    <row r="1" spans="2:11" s="1" customFormat="1"/>
    <row r="2" spans="2:11" s="1" customFormat="1" ht="8.25" customHeight="1"/>
    <row r="3" spans="2:11" ht="11.25" customHeight="1">
      <c r="B3" s="2"/>
      <c r="C3" s="608"/>
      <c r="D3" s="608"/>
      <c r="E3" s="3"/>
      <c r="F3" s="4"/>
      <c r="G3" s="4"/>
      <c r="H3" s="4"/>
      <c r="I3" s="4"/>
      <c r="J3" s="4"/>
      <c r="K3" s="4"/>
    </row>
    <row r="4" spans="2:11" ht="34.5" hidden="1" customHeight="1">
      <c r="B4" s="2"/>
      <c r="C4" s="5"/>
      <c r="D4" s="6"/>
      <c r="E4" s="3"/>
    </row>
    <row r="5" spans="2:11" ht="15" customHeight="1">
      <c r="B5" s="609" t="s">
        <v>94</v>
      </c>
      <c r="C5" s="609"/>
      <c r="D5" s="609"/>
      <c r="E5" s="7"/>
    </row>
    <row r="6" spans="2:11" ht="15" customHeight="1">
      <c r="B6" s="609"/>
      <c r="C6" s="609"/>
      <c r="D6" s="609"/>
      <c r="E6" s="8"/>
    </row>
    <row r="7" spans="2:11" ht="15.75" customHeight="1">
      <c r="B7" s="609"/>
      <c r="C7" s="609"/>
      <c r="D7" s="609"/>
      <c r="E7" s="9"/>
    </row>
    <row r="8" spans="2:11" ht="15.75" thickBot="1">
      <c r="B8" s="10" t="s">
        <v>95</v>
      </c>
      <c r="C8" s="11" t="s">
        <v>96</v>
      </c>
      <c r="D8" s="11" t="s">
        <v>97</v>
      </c>
      <c r="E8" s="9"/>
    </row>
    <row r="9" spans="2:11" ht="15" customHeight="1">
      <c r="B9" s="12">
        <v>1</v>
      </c>
      <c r="C9" s="13" t="s">
        <v>98</v>
      </c>
      <c r="D9" s="14">
        <v>0.04</v>
      </c>
      <c r="E9" s="7"/>
      <c r="F9" s="15"/>
      <c r="G9" s="15"/>
      <c r="H9" s="15"/>
    </row>
    <row r="10" spans="2:11" ht="15" customHeight="1">
      <c r="B10" s="16">
        <v>2</v>
      </c>
      <c r="C10" s="17" t="s">
        <v>99</v>
      </c>
      <c r="D10" s="18">
        <v>1.12E-2</v>
      </c>
      <c r="E10" s="7"/>
      <c r="F10" s="19"/>
      <c r="G10" s="19"/>
      <c r="H10" s="15"/>
    </row>
    <row r="11" spans="2:11" ht="15" customHeight="1">
      <c r="B11" s="16">
        <v>3</v>
      </c>
      <c r="C11" s="17" t="s">
        <v>100</v>
      </c>
      <c r="D11" s="18">
        <v>0.01</v>
      </c>
      <c r="E11" s="7"/>
      <c r="F11" s="20"/>
      <c r="G11" s="21"/>
      <c r="H11" s="15"/>
    </row>
    <row r="12" spans="2:11" ht="15" customHeight="1">
      <c r="B12" s="16">
        <v>4</v>
      </c>
      <c r="C12" s="17" t="s">
        <v>101</v>
      </c>
      <c r="D12" s="18">
        <v>8.0000000000000002E-3</v>
      </c>
      <c r="E12" s="7"/>
      <c r="F12" s="15"/>
      <c r="G12" s="15"/>
      <c r="H12" s="15"/>
    </row>
    <row r="13" spans="2:11" ht="15" customHeight="1">
      <c r="B13" s="16">
        <v>5</v>
      </c>
      <c r="C13" s="17" t="s">
        <v>102</v>
      </c>
      <c r="D13" s="18">
        <v>0.08</v>
      </c>
      <c r="E13" s="7"/>
    </row>
    <row r="14" spans="2:11" ht="15" customHeight="1" thickBot="1">
      <c r="B14" s="610">
        <v>6</v>
      </c>
      <c r="C14" s="17" t="s">
        <v>103</v>
      </c>
      <c r="D14" s="22" t="e">
        <f>SUM(D15:D18)</f>
        <v>#DIV/0!</v>
      </c>
      <c r="E14" s="7"/>
    </row>
    <row r="15" spans="2:11" ht="15" customHeight="1" thickBot="1">
      <c r="B15" s="610"/>
      <c r="C15" s="23" t="s">
        <v>104</v>
      </c>
      <c r="D15" s="22">
        <v>6.4999999999999997E-3</v>
      </c>
      <c r="E15" s="7"/>
    </row>
    <row r="16" spans="2:11" ht="15" customHeight="1" thickBot="1">
      <c r="B16" s="610"/>
      <c r="C16" s="23" t="s">
        <v>105</v>
      </c>
      <c r="D16" s="22">
        <v>0.03</v>
      </c>
      <c r="E16" s="7"/>
    </row>
    <row r="17" spans="2:5" ht="15" customHeight="1" thickBot="1">
      <c r="B17" s="610"/>
      <c r="C17" s="23" t="s">
        <v>463</v>
      </c>
      <c r="D17" s="24" t="e">
        <f>2.5%*'Orçamento Sintético'!N103</f>
        <v>#DIV/0!</v>
      </c>
      <c r="E17" s="1"/>
    </row>
    <row r="18" spans="2:5" ht="15" customHeight="1" thickBot="1">
      <c r="B18" s="610"/>
      <c r="C18" s="25" t="s">
        <v>106</v>
      </c>
      <c r="D18" s="26">
        <v>4.4999999999999998E-2</v>
      </c>
      <c r="E18" s="8"/>
    </row>
    <row r="19" spans="2:5" ht="15.75">
      <c r="B19" s="611" t="s">
        <v>107</v>
      </c>
      <c r="C19" s="611"/>
      <c r="D19" s="27" t="e">
        <f>(((1+(D9+D11+0+D12))*(1+D10)*(1+D13))/(1-D14))-1</f>
        <v>#DIV/0!</v>
      </c>
      <c r="E19" s="9"/>
    </row>
    <row r="20" spans="2:5" ht="16.5" thickBot="1">
      <c r="B20" s="612" t="s">
        <v>108</v>
      </c>
      <c r="C20" s="612"/>
      <c r="D20" s="28">
        <v>0.27</v>
      </c>
      <c r="E20" s="9"/>
    </row>
    <row r="21" spans="2:5" ht="15.75" thickBot="1">
      <c r="B21" s="29"/>
      <c r="C21" s="29"/>
      <c r="D21" s="29"/>
      <c r="E21" s="8"/>
    </row>
    <row r="22" spans="2:5" ht="15" customHeight="1">
      <c r="B22" s="613" t="s">
        <v>109</v>
      </c>
      <c r="C22" s="613"/>
      <c r="D22" s="613"/>
      <c r="E22" s="9"/>
    </row>
    <row r="23" spans="2:5">
      <c r="B23" s="607" t="s">
        <v>110</v>
      </c>
      <c r="C23" s="607"/>
      <c r="D23" s="607"/>
      <c r="E23" s="8"/>
    </row>
    <row r="24" spans="2:5">
      <c r="B24" s="30"/>
      <c r="C24" s="31"/>
      <c r="D24" s="32"/>
      <c r="E24" s="8"/>
    </row>
    <row r="25" spans="2:5">
      <c r="B25" s="30"/>
      <c r="C25" s="31"/>
      <c r="D25" s="32"/>
      <c r="E25" s="8"/>
    </row>
    <row r="26" spans="2:5">
      <c r="B26" s="30"/>
      <c r="C26" s="31"/>
      <c r="D26" s="32"/>
      <c r="E26" s="8"/>
    </row>
    <row r="27" spans="2:5">
      <c r="B27" s="30"/>
      <c r="C27" s="31"/>
      <c r="D27" s="32"/>
      <c r="E27" s="8"/>
    </row>
    <row r="28" spans="2:5">
      <c r="B28" s="7"/>
      <c r="C28" s="33"/>
      <c r="D28" s="33"/>
      <c r="E28" s="8"/>
    </row>
    <row r="29" spans="2:5">
      <c r="B29" s="7"/>
      <c r="C29" s="33"/>
      <c r="D29" s="33"/>
      <c r="E29" s="8"/>
    </row>
    <row r="30" spans="2:5">
      <c r="B30" s="7"/>
      <c r="C30" s="33"/>
      <c r="D30" s="33"/>
      <c r="E30" s="8"/>
    </row>
    <row r="31" spans="2:5">
      <c r="B31" s="7"/>
      <c r="C31" s="33"/>
      <c r="D31" s="33"/>
      <c r="E31" s="8"/>
    </row>
    <row r="32" spans="2:5">
      <c r="B32" s="34"/>
      <c r="C32" s="35"/>
      <c r="D32" s="35"/>
      <c r="E32" s="8"/>
    </row>
    <row r="33" spans="2:5">
      <c r="B33" s="386" t="s">
        <v>464</v>
      </c>
      <c r="C33" s="36"/>
      <c r="D33" s="36"/>
      <c r="E33" s="36"/>
    </row>
  </sheetData>
  <mergeCells count="7">
    <mergeCell ref="B23:D23"/>
    <mergeCell ref="C3:D3"/>
    <mergeCell ref="B5:D7"/>
    <mergeCell ref="B14:B18"/>
    <mergeCell ref="B19:C19"/>
    <mergeCell ref="B20:C20"/>
    <mergeCell ref="B22:D22"/>
  </mergeCells>
  <conditionalFormatting sqref="D19:D20">
    <cfRule type="cellIs" dxfId="4" priority="1" operator="equal">
      <formula>#REF!</formula>
    </cfRule>
    <cfRule type="cellIs" dxfId="3" priority="2" operator="lessThanOrEqual">
      <formula>#REF!</formula>
    </cfRule>
    <cfRule type="cellIs" dxfId="2" priority="3" operator="greaterThan">
      <formula>#REF!</formula>
    </cfRule>
  </conditionalFormatting>
  <printOptions horizontalCentered="1"/>
  <pageMargins left="0.23622047244094491" right="0.23622047244094491" top="0.31496062992125984" bottom="0.31496062992125984" header="0.51181102362204722" footer="0.51181102362204722"/>
  <pageSetup paperSize="9" firstPageNumber="0" orientation="portrait" horizontalDpi="300" verticalDpi="3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7"/>
  <sheetViews>
    <sheetView zoomScale="80" zoomScaleNormal="80" workbookViewId="0">
      <selection activeCell="A43" sqref="A43:G47"/>
    </sheetView>
  </sheetViews>
  <sheetFormatPr defaultColWidth="9" defaultRowHeight="15"/>
  <cols>
    <col min="1" max="1" width="14.125" style="159" customWidth="1"/>
    <col min="2" max="2" width="9.375" style="159" customWidth="1"/>
    <col min="3" max="3" width="32.5" style="159" customWidth="1"/>
    <col min="4" max="4" width="12.125" style="159" customWidth="1"/>
    <col min="5" max="5" width="28.75" style="159" customWidth="1"/>
    <col min="6" max="6" width="10.875" style="159" customWidth="1"/>
    <col min="7" max="7" width="33.125" style="159" customWidth="1"/>
    <col min="8" max="8" width="9.25" style="159" bestFit="1" customWidth="1"/>
    <col min="9" max="16384" width="9" style="159"/>
  </cols>
  <sheetData>
    <row r="1" spans="1:7">
      <c r="C1" s="618" t="s">
        <v>465</v>
      </c>
      <c r="D1" s="618"/>
      <c r="E1" s="618"/>
    </row>
    <row r="2" spans="1:7" ht="15" customHeight="1">
      <c r="A2" s="614" t="s">
        <v>633</v>
      </c>
      <c r="B2" s="162" t="s">
        <v>267</v>
      </c>
      <c r="C2" s="170" t="s">
        <v>385</v>
      </c>
      <c r="D2" s="162" t="s">
        <v>267</v>
      </c>
      <c r="E2" s="170" t="s">
        <v>295</v>
      </c>
      <c r="F2" s="162" t="s">
        <v>267</v>
      </c>
      <c r="G2" s="170" t="s">
        <v>386</v>
      </c>
    </row>
    <row r="3" spans="1:7">
      <c r="A3" s="619"/>
      <c r="B3" s="162" t="s">
        <v>263</v>
      </c>
      <c r="C3" s="172" t="s">
        <v>670</v>
      </c>
      <c r="D3" s="162" t="s">
        <v>263</v>
      </c>
      <c r="E3" s="170" t="s">
        <v>296</v>
      </c>
      <c r="F3" s="162" t="s">
        <v>263</v>
      </c>
      <c r="G3" s="170" t="s">
        <v>387</v>
      </c>
    </row>
    <row r="4" spans="1:7" ht="129">
      <c r="A4" s="619"/>
      <c r="B4" s="162" t="s">
        <v>259</v>
      </c>
      <c r="C4" s="173" t="s">
        <v>388</v>
      </c>
      <c r="D4" s="162" t="s">
        <v>259</v>
      </c>
      <c r="E4" s="174" t="s">
        <v>389</v>
      </c>
      <c r="F4" s="162" t="s">
        <v>259</v>
      </c>
      <c r="G4" s="173" t="s">
        <v>390</v>
      </c>
    </row>
    <row r="5" spans="1:7">
      <c r="A5" s="619"/>
      <c r="B5" s="254" t="s">
        <v>391</v>
      </c>
      <c r="C5" s="255">
        <v>62.9</v>
      </c>
      <c r="D5" s="254" t="s">
        <v>391</v>
      </c>
      <c r="E5" s="255">
        <v>66.900000000000006</v>
      </c>
      <c r="F5" s="254" t="s">
        <v>391</v>
      </c>
      <c r="G5" s="255">
        <v>66.45</v>
      </c>
    </row>
    <row r="6" spans="1:7">
      <c r="A6" s="620"/>
      <c r="B6" s="254" t="s">
        <v>307</v>
      </c>
      <c r="C6" s="255">
        <f>C5/2.4</f>
        <v>26.208333333333332</v>
      </c>
      <c r="D6" s="254" t="s">
        <v>307</v>
      </c>
      <c r="E6" s="255">
        <f>E5/2.4</f>
        <v>27.875000000000004</v>
      </c>
      <c r="F6" s="254" t="s">
        <v>307</v>
      </c>
      <c r="G6" s="255">
        <f>G5/2.4</f>
        <v>27.687500000000004</v>
      </c>
    </row>
    <row r="7" spans="1:7">
      <c r="A7" s="617" t="s">
        <v>346</v>
      </c>
      <c r="B7" s="617"/>
      <c r="C7" s="617"/>
      <c r="D7" s="617"/>
      <c r="E7" s="617"/>
      <c r="F7" s="617"/>
      <c r="G7" s="256">
        <f>C6</f>
        <v>26.208333333333332</v>
      </c>
    </row>
    <row r="8" spans="1:7" ht="15" customHeight="1">
      <c r="A8" s="614" t="s">
        <v>634</v>
      </c>
      <c r="B8" s="162" t="s">
        <v>267</v>
      </c>
      <c r="C8" s="170" t="s">
        <v>282</v>
      </c>
      <c r="D8" s="162" t="s">
        <v>267</v>
      </c>
      <c r="E8" s="170" t="s">
        <v>283</v>
      </c>
      <c r="F8" s="162" t="s">
        <v>267</v>
      </c>
      <c r="G8" s="170" t="s">
        <v>284</v>
      </c>
    </row>
    <row r="9" spans="1:7">
      <c r="A9" s="619"/>
      <c r="B9" s="162" t="s">
        <v>263</v>
      </c>
      <c r="C9" s="172" t="s">
        <v>285</v>
      </c>
      <c r="D9" s="162" t="s">
        <v>263</v>
      </c>
      <c r="E9" s="170" t="s">
        <v>286</v>
      </c>
      <c r="F9" s="162" t="s">
        <v>263</v>
      </c>
      <c r="G9" s="170" t="s">
        <v>287</v>
      </c>
    </row>
    <row r="10" spans="1:7" ht="129">
      <c r="A10" s="619"/>
      <c r="B10" s="162" t="s">
        <v>259</v>
      </c>
      <c r="C10" s="227" t="s">
        <v>288</v>
      </c>
      <c r="D10" s="162" t="s">
        <v>259</v>
      </c>
      <c r="E10" s="214" t="s">
        <v>289</v>
      </c>
      <c r="F10" s="162" t="s">
        <v>259</v>
      </c>
      <c r="G10" s="176" t="s">
        <v>290</v>
      </c>
    </row>
    <row r="11" spans="1:7">
      <c r="A11" s="619"/>
      <c r="B11" s="162" t="s">
        <v>257</v>
      </c>
      <c r="C11" s="161">
        <f>42.9/(0.625*1.25)</f>
        <v>54.911999999999999</v>
      </c>
      <c r="D11" s="162" t="s">
        <v>257</v>
      </c>
      <c r="E11" s="161">
        <f>134.48/(0.625*0.625*8)</f>
        <v>43.0336</v>
      </c>
      <c r="F11" s="162" t="s">
        <v>257</v>
      </c>
      <c r="G11" s="161">
        <f>397/(0.625*1.25*8)</f>
        <v>63.52</v>
      </c>
    </row>
    <row r="12" spans="1:7">
      <c r="A12" s="617" t="s">
        <v>346</v>
      </c>
      <c r="B12" s="617"/>
      <c r="C12" s="617"/>
      <c r="D12" s="617"/>
      <c r="E12" s="617"/>
      <c r="F12" s="617"/>
      <c r="G12" s="175">
        <f>E11</f>
        <v>43.0336</v>
      </c>
    </row>
    <row r="13" spans="1:7" ht="15" customHeight="1">
      <c r="A13" s="614" t="s">
        <v>632</v>
      </c>
      <c r="B13" s="162" t="s">
        <v>267</v>
      </c>
      <c r="C13" s="170" t="s">
        <v>329</v>
      </c>
      <c r="D13" s="162" t="s">
        <v>267</v>
      </c>
      <c r="E13" s="170" t="s">
        <v>454</v>
      </c>
      <c r="F13" s="162" t="s">
        <v>267</v>
      </c>
      <c r="G13" s="170" t="s">
        <v>295</v>
      </c>
    </row>
    <row r="14" spans="1:7">
      <c r="A14" s="615"/>
      <c r="B14" s="162" t="s">
        <v>263</v>
      </c>
      <c r="C14" s="172" t="s">
        <v>330</v>
      </c>
      <c r="D14" s="162" t="s">
        <v>263</v>
      </c>
      <c r="E14" s="170" t="s">
        <v>455</v>
      </c>
      <c r="F14" s="162" t="s">
        <v>263</v>
      </c>
      <c r="G14" s="170" t="s">
        <v>296</v>
      </c>
    </row>
    <row r="15" spans="1:7" ht="185.25">
      <c r="A15" s="615"/>
      <c r="B15" s="162" t="s">
        <v>259</v>
      </c>
      <c r="C15" s="365" t="s">
        <v>456</v>
      </c>
      <c r="D15" s="162" t="s">
        <v>259</v>
      </c>
      <c r="E15" s="174" t="s">
        <v>457</v>
      </c>
      <c r="F15" s="162" t="s">
        <v>259</v>
      </c>
      <c r="G15" s="176" t="s">
        <v>458</v>
      </c>
    </row>
    <row r="16" spans="1:7">
      <c r="A16" s="616"/>
      <c r="B16" s="162" t="s">
        <v>391</v>
      </c>
      <c r="C16" s="161">
        <v>279.89999999999998</v>
      </c>
      <c r="D16" s="162" t="s">
        <v>391</v>
      </c>
      <c r="E16" s="161">
        <v>331.08</v>
      </c>
      <c r="F16" s="162" t="s">
        <v>391</v>
      </c>
      <c r="G16" s="161">
        <v>259.89999999999998</v>
      </c>
    </row>
    <row r="17" spans="1:8">
      <c r="A17" s="617" t="s">
        <v>346</v>
      </c>
      <c r="B17" s="617"/>
      <c r="C17" s="617"/>
      <c r="D17" s="617"/>
      <c r="E17" s="617"/>
      <c r="F17" s="617"/>
      <c r="G17" s="175">
        <f>G16</f>
        <v>259.89999999999998</v>
      </c>
    </row>
    <row r="18" spans="1:8">
      <c r="A18" s="614" t="s">
        <v>635</v>
      </c>
      <c r="B18" s="162" t="s">
        <v>267</v>
      </c>
      <c r="C18" s="165" t="s">
        <v>269</v>
      </c>
      <c r="D18" s="162" t="s">
        <v>267</v>
      </c>
      <c r="E18" s="165" t="s">
        <v>268</v>
      </c>
      <c r="F18" s="162" t="s">
        <v>267</v>
      </c>
      <c r="G18" s="165" t="s">
        <v>266</v>
      </c>
    </row>
    <row r="19" spans="1:8">
      <c r="A19" s="615"/>
      <c r="B19" s="162" t="s">
        <v>263</v>
      </c>
      <c r="C19" s="166" t="s">
        <v>265</v>
      </c>
      <c r="D19" s="162" t="s">
        <v>263</v>
      </c>
      <c r="E19" s="165" t="s">
        <v>264</v>
      </c>
      <c r="F19" s="162" t="s">
        <v>263</v>
      </c>
      <c r="G19" s="165" t="s">
        <v>262</v>
      </c>
    </row>
    <row r="20" spans="1:8" ht="150">
      <c r="A20" s="615"/>
      <c r="B20" s="162" t="s">
        <v>259</v>
      </c>
      <c r="C20" s="164" t="s">
        <v>261</v>
      </c>
      <c r="D20" s="162" t="s">
        <v>259</v>
      </c>
      <c r="E20" s="164" t="s">
        <v>260</v>
      </c>
      <c r="F20" s="162" t="s">
        <v>259</v>
      </c>
      <c r="G20" s="163" t="s">
        <v>258</v>
      </c>
    </row>
    <row r="21" spans="1:8">
      <c r="A21" s="616"/>
      <c r="B21" s="162" t="s">
        <v>306</v>
      </c>
      <c r="C21" s="161">
        <f>166.67+29.03</f>
        <v>195.7</v>
      </c>
      <c r="D21" s="162" t="s">
        <v>306</v>
      </c>
      <c r="E21" s="161">
        <f>145+126.12</f>
        <v>271.12</v>
      </c>
      <c r="F21" s="162" t="s">
        <v>306</v>
      </c>
      <c r="G21" s="161">
        <f>157.66+50</f>
        <v>207.66</v>
      </c>
      <c r="H21" s="246"/>
    </row>
    <row r="22" spans="1:8">
      <c r="A22" s="617" t="s">
        <v>346</v>
      </c>
      <c r="B22" s="617"/>
      <c r="C22" s="617"/>
      <c r="D22" s="617"/>
      <c r="E22" s="617"/>
      <c r="F22" s="617"/>
      <c r="G22" s="160">
        <f>C21</f>
        <v>195.7</v>
      </c>
    </row>
    <row r="23" spans="1:8">
      <c r="A23" s="614" t="s">
        <v>636</v>
      </c>
      <c r="B23" s="162" t="s">
        <v>267</v>
      </c>
      <c r="C23" s="170" t="s">
        <v>291</v>
      </c>
      <c r="D23" s="162" t="s">
        <v>267</v>
      </c>
      <c r="E23" s="170" t="s">
        <v>339</v>
      </c>
      <c r="F23" s="480"/>
      <c r="G23" s="480"/>
    </row>
    <row r="24" spans="1:8">
      <c r="A24" s="615"/>
      <c r="B24" s="162" t="s">
        <v>263</v>
      </c>
      <c r="C24" s="172" t="s">
        <v>292</v>
      </c>
      <c r="D24" s="162" t="s">
        <v>263</v>
      </c>
      <c r="E24" s="170" t="s">
        <v>340</v>
      </c>
      <c r="F24" s="480"/>
      <c r="G24" s="480"/>
    </row>
    <row r="25" spans="1:8" ht="78.75" customHeight="1">
      <c r="A25" s="615"/>
      <c r="B25" s="162" t="s">
        <v>259</v>
      </c>
      <c r="C25" s="365" t="s">
        <v>338</v>
      </c>
      <c r="D25" s="162" t="s">
        <v>259</v>
      </c>
      <c r="E25" s="214" t="s">
        <v>345</v>
      </c>
      <c r="F25" s="480"/>
      <c r="G25" s="480"/>
    </row>
    <row r="26" spans="1:8">
      <c r="A26" s="616"/>
      <c r="B26" s="162" t="s">
        <v>306</v>
      </c>
      <c r="C26" s="161">
        <f>1868.53+50</f>
        <v>1918.53</v>
      </c>
      <c r="D26" s="162" t="s">
        <v>306</v>
      </c>
      <c r="E26" s="161">
        <v>1735.89</v>
      </c>
      <c r="F26" s="480"/>
      <c r="G26" s="480"/>
    </row>
    <row r="27" spans="1:8">
      <c r="A27" s="621" t="s">
        <v>346</v>
      </c>
      <c r="B27" s="622"/>
      <c r="C27" s="622"/>
      <c r="D27" s="623"/>
      <c r="E27" s="228">
        <f>E26</f>
        <v>1735.89</v>
      </c>
      <c r="F27" s="480"/>
      <c r="G27" s="480"/>
    </row>
    <row r="28" spans="1:8" ht="15" customHeight="1">
      <c r="A28" s="614" t="s">
        <v>637</v>
      </c>
      <c r="B28" s="162" t="s">
        <v>267</v>
      </c>
      <c r="C28" s="170" t="s">
        <v>291</v>
      </c>
      <c r="D28" s="162" t="s">
        <v>267</v>
      </c>
      <c r="E28" s="170" t="s">
        <v>295</v>
      </c>
      <c r="F28" s="162" t="s">
        <v>267</v>
      </c>
      <c r="G28" s="170" t="s">
        <v>297</v>
      </c>
    </row>
    <row r="29" spans="1:8">
      <c r="A29" s="619"/>
      <c r="B29" s="162" t="s">
        <v>263</v>
      </c>
      <c r="C29" s="172" t="s">
        <v>292</v>
      </c>
      <c r="D29" s="162" t="s">
        <v>263</v>
      </c>
      <c r="E29" s="170" t="s">
        <v>296</v>
      </c>
      <c r="F29" s="162" t="s">
        <v>263</v>
      </c>
      <c r="G29" s="170" t="s">
        <v>298</v>
      </c>
    </row>
    <row r="30" spans="1:8" ht="93.75" customHeight="1">
      <c r="A30" s="619"/>
      <c r="B30" s="162" t="s">
        <v>259</v>
      </c>
      <c r="C30" s="173" t="s">
        <v>293</v>
      </c>
      <c r="D30" s="162" t="s">
        <v>259</v>
      </c>
      <c r="E30" s="174" t="s">
        <v>294</v>
      </c>
      <c r="F30" s="162" t="s">
        <v>259</v>
      </c>
      <c r="G30" s="176" t="s">
        <v>299</v>
      </c>
    </row>
    <row r="31" spans="1:8">
      <c r="A31" s="620"/>
      <c r="B31" s="162" t="s">
        <v>307</v>
      </c>
      <c r="C31" s="161">
        <f>(93.58+50)/3</f>
        <v>47.859999999999992</v>
      </c>
      <c r="D31" s="162" t="s">
        <v>307</v>
      </c>
      <c r="E31" s="161">
        <f>(84.89+83.57)/3</f>
        <v>56.153333333333329</v>
      </c>
      <c r="F31" s="162" t="s">
        <v>307</v>
      </c>
      <c r="G31" s="161">
        <f>(117.12+29.29)/3</f>
        <v>48.803333333333335</v>
      </c>
      <c r="H31" s="246"/>
    </row>
    <row r="32" spans="1:8">
      <c r="A32" s="621" t="s">
        <v>256</v>
      </c>
      <c r="B32" s="622"/>
      <c r="C32" s="622"/>
      <c r="D32" s="622"/>
      <c r="E32" s="622"/>
      <c r="F32" s="623"/>
      <c r="G32" s="175">
        <f>C31</f>
        <v>47.859999999999992</v>
      </c>
    </row>
    <row r="33" spans="1:7">
      <c r="A33" s="614" t="s">
        <v>638</v>
      </c>
      <c r="B33" s="162" t="s">
        <v>267</v>
      </c>
      <c r="C33" s="170" t="s">
        <v>503</v>
      </c>
      <c r="D33" s="162" t="s">
        <v>267</v>
      </c>
      <c r="E33" s="170" t="s">
        <v>505</v>
      </c>
    </row>
    <row r="34" spans="1:7">
      <c r="A34" s="615"/>
      <c r="B34" s="162" t="s">
        <v>263</v>
      </c>
      <c r="C34" s="172" t="s">
        <v>504</v>
      </c>
      <c r="D34" s="162" t="s">
        <v>263</v>
      </c>
      <c r="E34" s="170" t="s">
        <v>506</v>
      </c>
    </row>
    <row r="35" spans="1:7" ht="132" customHeight="1">
      <c r="A35" s="615"/>
      <c r="B35" s="162" t="s">
        <v>259</v>
      </c>
      <c r="C35" s="173" t="s">
        <v>507</v>
      </c>
      <c r="D35" s="162" t="s">
        <v>259</v>
      </c>
      <c r="E35" s="214" t="s">
        <v>508</v>
      </c>
    </row>
    <row r="36" spans="1:7">
      <c r="A36" s="616"/>
      <c r="B36" s="162" t="s">
        <v>306</v>
      </c>
      <c r="C36" s="161">
        <f>(1016.95)</f>
        <v>1016.95</v>
      </c>
      <c r="D36" s="162" t="s">
        <v>306</v>
      </c>
      <c r="E36" s="161">
        <v>993.64</v>
      </c>
    </row>
    <row r="37" spans="1:7">
      <c r="A37" s="621" t="s">
        <v>346</v>
      </c>
      <c r="B37" s="622"/>
      <c r="C37" s="622"/>
      <c r="D37" s="623"/>
      <c r="E37" s="228">
        <f>E36</f>
        <v>993.64</v>
      </c>
    </row>
    <row r="38" spans="1:7">
      <c r="A38" s="614" t="s">
        <v>639</v>
      </c>
      <c r="B38" s="162" t="s">
        <v>267</v>
      </c>
      <c r="C38" s="170" t="s">
        <v>510</v>
      </c>
      <c r="D38" s="162" t="s">
        <v>267</v>
      </c>
      <c r="E38" s="170" t="s">
        <v>512</v>
      </c>
      <c r="F38" s="162" t="s">
        <v>267</v>
      </c>
      <c r="G38" s="170" t="s">
        <v>514</v>
      </c>
    </row>
    <row r="39" spans="1:7">
      <c r="A39" s="615"/>
      <c r="B39" s="162" t="s">
        <v>263</v>
      </c>
      <c r="C39" s="172" t="s">
        <v>511</v>
      </c>
      <c r="D39" s="162" t="s">
        <v>263</v>
      </c>
      <c r="E39" s="170" t="s">
        <v>513</v>
      </c>
      <c r="F39" s="162" t="s">
        <v>263</v>
      </c>
      <c r="G39" s="170" t="s">
        <v>517</v>
      </c>
    </row>
    <row r="40" spans="1:7" ht="132.75" customHeight="1">
      <c r="A40" s="615"/>
      <c r="B40" s="162" t="s">
        <v>259</v>
      </c>
      <c r="C40" s="365" t="s">
        <v>509</v>
      </c>
      <c r="D40" s="162" t="s">
        <v>259</v>
      </c>
      <c r="E40" s="174" t="s">
        <v>515</v>
      </c>
      <c r="F40" s="162" t="s">
        <v>259</v>
      </c>
      <c r="G40" s="176" t="s">
        <v>516</v>
      </c>
    </row>
    <row r="41" spans="1:7">
      <c r="A41" s="616"/>
      <c r="B41" s="162" t="s">
        <v>391</v>
      </c>
      <c r="C41" s="161">
        <f>138.35+14.81</f>
        <v>153.16</v>
      </c>
      <c r="D41" s="162" t="s">
        <v>391</v>
      </c>
      <c r="E41" s="161">
        <f>151.64+16.74</f>
        <v>168.38</v>
      </c>
      <c r="F41" s="162" t="s">
        <v>391</v>
      </c>
      <c r="G41" s="161">
        <f>141.29+30.18</f>
        <v>171.47</v>
      </c>
    </row>
    <row r="42" spans="1:7">
      <c r="A42" s="617" t="s">
        <v>346</v>
      </c>
      <c r="B42" s="617"/>
      <c r="C42" s="617"/>
      <c r="D42" s="617"/>
      <c r="E42" s="617"/>
      <c r="F42" s="617"/>
      <c r="G42" s="175">
        <f>C41</f>
        <v>153.16</v>
      </c>
    </row>
    <row r="43" spans="1:7" ht="15" customHeight="1">
      <c r="A43" s="614" t="s">
        <v>640</v>
      </c>
      <c r="B43" s="162" t="s">
        <v>267</v>
      </c>
      <c r="C43" s="170" t="s">
        <v>518</v>
      </c>
      <c r="D43" s="162" t="s">
        <v>267</v>
      </c>
      <c r="E43" s="170" t="s">
        <v>523</v>
      </c>
      <c r="F43" s="162" t="s">
        <v>267</v>
      </c>
      <c r="G43" s="170" t="s">
        <v>297</v>
      </c>
    </row>
    <row r="44" spans="1:7">
      <c r="A44" s="615"/>
      <c r="B44" s="162" t="s">
        <v>263</v>
      </c>
      <c r="C44" s="172" t="s">
        <v>519</v>
      </c>
      <c r="D44" s="162" t="s">
        <v>263</v>
      </c>
      <c r="E44" s="170" t="s">
        <v>524</v>
      </c>
      <c r="F44" s="162" t="s">
        <v>263</v>
      </c>
      <c r="G44" s="170" t="s">
        <v>298</v>
      </c>
    </row>
    <row r="45" spans="1:7" ht="42.75">
      <c r="A45" s="615"/>
      <c r="B45" s="162" t="s">
        <v>520</v>
      </c>
      <c r="C45" s="365" t="s">
        <v>521</v>
      </c>
      <c r="D45" s="162" t="s">
        <v>259</v>
      </c>
      <c r="E45" s="174" t="s">
        <v>538</v>
      </c>
      <c r="F45" s="162" t="s">
        <v>259</v>
      </c>
      <c r="G45" s="176" t="s">
        <v>539</v>
      </c>
    </row>
    <row r="46" spans="1:7">
      <c r="A46" s="616"/>
      <c r="B46" s="162" t="s">
        <v>307</v>
      </c>
      <c r="C46" s="161">
        <f>9.44/3</f>
        <v>3.1466666666666665</v>
      </c>
      <c r="D46" s="162" t="s">
        <v>307</v>
      </c>
      <c r="E46" s="161">
        <f>15.75/3</f>
        <v>5.25</v>
      </c>
      <c r="F46" s="162" t="s">
        <v>307</v>
      </c>
      <c r="G46" s="161">
        <f>11.54/3</f>
        <v>3.8466666666666662</v>
      </c>
    </row>
    <row r="47" spans="1:7">
      <c r="A47" s="617" t="s">
        <v>346</v>
      </c>
      <c r="B47" s="617"/>
      <c r="C47" s="617"/>
      <c r="D47" s="617"/>
      <c r="E47" s="617"/>
      <c r="F47" s="617"/>
      <c r="G47" s="175">
        <f>C46</f>
        <v>3.1466666666666665</v>
      </c>
    </row>
    <row r="48" spans="1:7" ht="15" customHeight="1">
      <c r="A48" s="614" t="s">
        <v>641</v>
      </c>
      <c r="B48" s="162" t="s">
        <v>267</v>
      </c>
      <c r="C48" s="170" t="s">
        <v>518</v>
      </c>
      <c r="D48" s="162" t="s">
        <v>267</v>
      </c>
      <c r="E48" s="170" t="s">
        <v>512</v>
      </c>
      <c r="F48" s="162" t="s">
        <v>267</v>
      </c>
      <c r="G48" s="170" t="s">
        <v>530</v>
      </c>
    </row>
    <row r="49" spans="1:7">
      <c r="A49" s="615"/>
      <c r="B49" s="162" t="s">
        <v>263</v>
      </c>
      <c r="C49" s="172" t="s">
        <v>519</v>
      </c>
      <c r="D49" s="162" t="s">
        <v>263</v>
      </c>
      <c r="E49" s="170" t="s">
        <v>513</v>
      </c>
      <c r="F49" s="162" t="s">
        <v>263</v>
      </c>
      <c r="G49" s="170" t="s">
        <v>531</v>
      </c>
    </row>
    <row r="50" spans="1:7" ht="142.5">
      <c r="A50" s="615"/>
      <c r="B50" s="162" t="s">
        <v>520</v>
      </c>
      <c r="C50" s="365" t="s">
        <v>521</v>
      </c>
      <c r="D50" s="162" t="s">
        <v>259</v>
      </c>
      <c r="E50" s="174" t="s">
        <v>541</v>
      </c>
      <c r="F50" s="162" t="s">
        <v>259</v>
      </c>
      <c r="G50" s="176" t="s">
        <v>540</v>
      </c>
    </row>
    <row r="51" spans="1:7">
      <c r="A51" s="616"/>
      <c r="B51" s="162" t="s">
        <v>391</v>
      </c>
      <c r="C51" s="161">
        <v>3.94</v>
      </c>
      <c r="D51" s="162" t="s">
        <v>391</v>
      </c>
      <c r="E51" s="161">
        <v>4.8499999999999996</v>
      </c>
      <c r="F51" s="162" t="s">
        <v>391</v>
      </c>
      <c r="G51" s="161">
        <v>6.74</v>
      </c>
    </row>
    <row r="52" spans="1:7">
      <c r="A52" s="617" t="s">
        <v>346</v>
      </c>
      <c r="B52" s="617"/>
      <c r="C52" s="617"/>
      <c r="D52" s="617"/>
      <c r="E52" s="617"/>
      <c r="F52" s="617"/>
      <c r="G52" s="175">
        <f>C51</f>
        <v>3.94</v>
      </c>
    </row>
    <row r="53" spans="1:7" ht="15" customHeight="1">
      <c r="A53" s="614" t="s">
        <v>642</v>
      </c>
      <c r="B53" s="162" t="s">
        <v>267</v>
      </c>
      <c r="C53" s="170" t="s">
        <v>518</v>
      </c>
    </row>
    <row r="54" spans="1:7">
      <c r="A54" s="615"/>
      <c r="B54" s="162" t="s">
        <v>263</v>
      </c>
      <c r="C54" s="172" t="s">
        <v>519</v>
      </c>
    </row>
    <row r="55" spans="1:7" ht="63.75" customHeight="1">
      <c r="A55" s="615"/>
      <c r="B55" s="162" t="s">
        <v>520</v>
      </c>
      <c r="C55" s="365" t="s">
        <v>521</v>
      </c>
    </row>
    <row r="56" spans="1:7">
      <c r="A56" s="616"/>
      <c r="B56" s="162" t="s">
        <v>391</v>
      </c>
      <c r="C56" s="161">
        <v>4.46</v>
      </c>
    </row>
    <row r="57" spans="1:7">
      <c r="A57" s="617" t="s">
        <v>346</v>
      </c>
      <c r="B57" s="617"/>
      <c r="C57" s="160">
        <f>C56</f>
        <v>4.46</v>
      </c>
    </row>
    <row r="58" spans="1:7" ht="15" customHeight="1">
      <c r="A58" s="614" t="s">
        <v>643</v>
      </c>
      <c r="B58" s="162" t="s">
        <v>267</v>
      </c>
      <c r="C58" s="170" t="s">
        <v>518</v>
      </c>
      <c r="D58" s="162" t="s">
        <v>267</v>
      </c>
      <c r="E58" s="170" t="s">
        <v>530</v>
      </c>
    </row>
    <row r="59" spans="1:7">
      <c r="A59" s="615"/>
      <c r="B59" s="162" t="s">
        <v>263</v>
      </c>
      <c r="C59" s="172" t="s">
        <v>519</v>
      </c>
      <c r="D59" s="162" t="s">
        <v>263</v>
      </c>
      <c r="E59" s="170" t="s">
        <v>531</v>
      </c>
    </row>
    <row r="60" spans="1:7" ht="99.75">
      <c r="A60" s="615"/>
      <c r="B60" s="162" t="s">
        <v>520</v>
      </c>
      <c r="C60" s="365" t="s">
        <v>521</v>
      </c>
      <c r="D60" s="162" t="s">
        <v>259</v>
      </c>
      <c r="E60" s="214" t="s">
        <v>529</v>
      </c>
    </row>
    <row r="61" spans="1:7">
      <c r="A61" s="616"/>
      <c r="B61" s="162" t="s">
        <v>391</v>
      </c>
      <c r="C61" s="161">
        <v>59.27</v>
      </c>
      <c r="D61" s="162" t="s">
        <v>306</v>
      </c>
      <c r="E61" s="161">
        <f>61.49+10.72</f>
        <v>72.210000000000008</v>
      </c>
    </row>
    <row r="62" spans="1:7">
      <c r="A62" s="621" t="s">
        <v>346</v>
      </c>
      <c r="B62" s="622"/>
      <c r="C62" s="622"/>
      <c r="D62" s="623"/>
      <c r="E62" s="228">
        <f>C61</f>
        <v>59.27</v>
      </c>
    </row>
    <row r="63" spans="1:7">
      <c r="A63" s="614" t="s">
        <v>644</v>
      </c>
      <c r="B63" s="162" t="s">
        <v>267</v>
      </c>
      <c r="C63" s="170" t="s">
        <v>518</v>
      </c>
      <c r="D63" s="162" t="s">
        <v>267</v>
      </c>
      <c r="E63" s="170" t="s">
        <v>523</v>
      </c>
      <c r="F63" s="162" t="s">
        <v>267</v>
      </c>
      <c r="G63" s="170" t="s">
        <v>526</v>
      </c>
    </row>
    <row r="64" spans="1:7">
      <c r="A64" s="615"/>
      <c r="B64" s="162" t="s">
        <v>263</v>
      </c>
      <c r="C64" s="172" t="s">
        <v>519</v>
      </c>
      <c r="D64" s="162" t="s">
        <v>263</v>
      </c>
      <c r="E64" s="170" t="s">
        <v>524</v>
      </c>
      <c r="F64" s="162" t="s">
        <v>263</v>
      </c>
      <c r="G64" s="170" t="s">
        <v>527</v>
      </c>
    </row>
    <row r="65" spans="1:7" ht="90.75" customHeight="1">
      <c r="A65" s="615"/>
      <c r="B65" s="162" t="s">
        <v>520</v>
      </c>
      <c r="C65" s="365" t="s">
        <v>521</v>
      </c>
      <c r="D65" s="162" t="s">
        <v>259</v>
      </c>
      <c r="E65" s="174" t="s">
        <v>525</v>
      </c>
      <c r="F65" s="162" t="s">
        <v>259</v>
      </c>
      <c r="G65" s="176" t="s">
        <v>528</v>
      </c>
    </row>
    <row r="66" spans="1:7">
      <c r="A66" s="616"/>
      <c r="B66" s="162" t="s">
        <v>391</v>
      </c>
      <c r="C66" s="161">
        <v>42</v>
      </c>
      <c r="D66" s="162" t="s">
        <v>391</v>
      </c>
      <c r="E66" s="161">
        <f>30.99+29</f>
        <v>59.989999999999995</v>
      </c>
      <c r="F66" s="162" t="s">
        <v>391</v>
      </c>
      <c r="G66" s="161">
        <f>39.5+59.9</f>
        <v>99.4</v>
      </c>
    </row>
    <row r="67" spans="1:7">
      <c r="A67" s="617" t="s">
        <v>346</v>
      </c>
      <c r="B67" s="617"/>
      <c r="C67" s="617"/>
      <c r="D67" s="617"/>
      <c r="E67" s="617"/>
      <c r="F67" s="617"/>
      <c r="G67" s="175">
        <f>C66</f>
        <v>42</v>
      </c>
    </row>
    <row r="68" spans="1:7" ht="15" customHeight="1">
      <c r="A68" s="614" t="s">
        <v>645</v>
      </c>
      <c r="B68" s="162" t="s">
        <v>267</v>
      </c>
      <c r="C68" s="170" t="s">
        <v>518</v>
      </c>
      <c r="D68" s="162" t="s">
        <v>267</v>
      </c>
      <c r="E68" s="170" t="s">
        <v>532</v>
      </c>
      <c r="F68" s="162" t="s">
        <v>267</v>
      </c>
      <c r="G68" s="170" t="s">
        <v>535</v>
      </c>
    </row>
    <row r="69" spans="1:7">
      <c r="A69" s="615"/>
      <c r="B69" s="162" t="s">
        <v>263</v>
      </c>
      <c r="C69" s="172" t="s">
        <v>519</v>
      </c>
      <c r="D69" s="162" t="s">
        <v>263</v>
      </c>
      <c r="E69" s="170" t="s">
        <v>533</v>
      </c>
      <c r="F69" s="162" t="s">
        <v>263</v>
      </c>
      <c r="G69" s="170" t="s">
        <v>536</v>
      </c>
    </row>
    <row r="70" spans="1:7" ht="128.25">
      <c r="A70" s="615"/>
      <c r="B70" s="162" t="s">
        <v>520</v>
      </c>
      <c r="C70" s="365" t="s">
        <v>521</v>
      </c>
      <c r="D70" s="162" t="s">
        <v>259</v>
      </c>
      <c r="E70" s="174" t="s">
        <v>534</v>
      </c>
      <c r="F70" s="162" t="s">
        <v>259</v>
      </c>
      <c r="G70" s="176" t="s">
        <v>537</v>
      </c>
    </row>
    <row r="71" spans="1:7">
      <c r="A71" s="616"/>
      <c r="B71" s="162" t="s">
        <v>391</v>
      </c>
      <c r="C71" s="161">
        <v>58.82</v>
      </c>
      <c r="D71" s="162" t="s">
        <v>391</v>
      </c>
      <c r="E71" s="161">
        <f>62.95+13.57</f>
        <v>76.52000000000001</v>
      </c>
      <c r="F71" s="162" t="s">
        <v>391</v>
      </c>
      <c r="G71" s="161">
        <v>74.900000000000006</v>
      </c>
    </row>
    <row r="72" spans="1:7">
      <c r="A72" s="617" t="s">
        <v>346</v>
      </c>
      <c r="B72" s="617"/>
      <c r="C72" s="617"/>
      <c r="D72" s="617"/>
      <c r="E72" s="617"/>
      <c r="F72" s="617"/>
      <c r="G72" s="175">
        <f>C71</f>
        <v>58.82</v>
      </c>
    </row>
    <row r="73" spans="1:7">
      <c r="A73" s="614" t="s">
        <v>646</v>
      </c>
      <c r="B73" s="162" t="s">
        <v>267</v>
      </c>
      <c r="C73" s="170" t="s">
        <v>518</v>
      </c>
    </row>
    <row r="74" spans="1:7">
      <c r="A74" s="615"/>
      <c r="B74" s="162" t="s">
        <v>263</v>
      </c>
      <c r="C74" s="172" t="s">
        <v>519</v>
      </c>
    </row>
    <row r="75" spans="1:7" ht="45" customHeight="1">
      <c r="A75" s="615"/>
      <c r="B75" s="162" t="s">
        <v>520</v>
      </c>
      <c r="C75" s="365" t="s">
        <v>521</v>
      </c>
    </row>
    <row r="76" spans="1:7">
      <c r="A76" s="616"/>
      <c r="B76" s="162" t="s">
        <v>391</v>
      </c>
      <c r="C76" s="161">
        <v>51.63</v>
      </c>
    </row>
    <row r="77" spans="1:7">
      <c r="A77" s="617" t="s">
        <v>346</v>
      </c>
      <c r="B77" s="617"/>
      <c r="C77" s="160">
        <f>C76</f>
        <v>51.63</v>
      </c>
    </row>
  </sheetData>
  <mergeCells count="31">
    <mergeCell ref="A58:A61"/>
    <mergeCell ref="A62:D62"/>
    <mergeCell ref="A68:A71"/>
    <mergeCell ref="A72:F72"/>
    <mergeCell ref="A8:A11"/>
    <mergeCell ref="A27:D27"/>
    <mergeCell ref="A52:F52"/>
    <mergeCell ref="A53:A56"/>
    <mergeCell ref="A57:B57"/>
    <mergeCell ref="A33:A36"/>
    <mergeCell ref="A37:D37"/>
    <mergeCell ref="A38:A41"/>
    <mergeCell ref="A42:F42"/>
    <mergeCell ref="A48:A51"/>
    <mergeCell ref="A63:A66"/>
    <mergeCell ref="A73:A76"/>
    <mergeCell ref="A77:B77"/>
    <mergeCell ref="A67:F67"/>
    <mergeCell ref="C1:E1"/>
    <mergeCell ref="A43:A46"/>
    <mergeCell ref="A47:F47"/>
    <mergeCell ref="A18:A21"/>
    <mergeCell ref="A22:F22"/>
    <mergeCell ref="A28:A31"/>
    <mergeCell ref="A32:F32"/>
    <mergeCell ref="A12:F12"/>
    <mergeCell ref="A2:A6"/>
    <mergeCell ref="A7:F7"/>
    <mergeCell ref="A13:A16"/>
    <mergeCell ref="A17:F17"/>
    <mergeCell ref="A23:A26"/>
  </mergeCells>
  <hyperlinks>
    <hyperlink ref="C10" display="https://www.espacosmart.com.br/smart-clean-forro-de-gesso-com-pelicula-pvc-branco-625x1250-8mm/p?idsku=67&amp;utm_source=&amp;utm_medium=&amp;utm_campaign=&amp;utm_content=&amp;utm_term=&amp;gclid=Cj0KCQiA8t2eBhDeARIsAAVEga3ufICtbkn1BHXDmx3nWWq7OtsoBU0-b2N3Qf-VUKjtztRaor9DQnQaAt"/>
    <hyperlink ref="E10" r:id="rId1"/>
    <hyperlink ref="G10" r:id="rId2"/>
    <hyperlink ref="E25" r:id="rId3"/>
    <hyperlink ref="G30" r:id="rId4"/>
    <hyperlink ref="E60" r:id="rId5"/>
  </hyperlinks>
  <printOptions horizontalCentered="1"/>
  <pageMargins left="0.51181102362204722" right="0.51181102362204722" top="0.55118110236220474" bottom="0.47244094488188981" header="0.31496062992125984" footer="0.31496062992125984"/>
  <pageSetup paperSize="9" scale="60" orientation="portrait" horizontalDpi="4294967294" verticalDpi="4294967294"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8</vt:i4>
      </vt:variant>
      <vt:variant>
        <vt:lpstr>Intervalos nomeados</vt:lpstr>
      </vt:variant>
      <vt:variant>
        <vt:i4>9</vt:i4>
      </vt:variant>
    </vt:vector>
  </HeadingPairs>
  <TitlesOfParts>
    <vt:vector size="17" baseType="lpstr">
      <vt:lpstr>Orçamento Sintético</vt:lpstr>
      <vt:lpstr>CRONOGRAMA</vt:lpstr>
      <vt:lpstr>Composições</vt:lpstr>
      <vt:lpstr>COMP. ADM</vt:lpstr>
      <vt:lpstr>Memória de cálculo</vt:lpstr>
      <vt:lpstr>ENCARGOS SOCIAIS</vt:lpstr>
      <vt:lpstr>COMP_BDI</vt:lpstr>
      <vt:lpstr>Cotações</vt:lpstr>
      <vt:lpstr>COMP_BDI!Area_de_impressao</vt:lpstr>
      <vt:lpstr>Cotações!Area_de_impressao</vt:lpstr>
      <vt:lpstr>CRONOGRAMA!Area_de_impressao</vt:lpstr>
      <vt:lpstr>COMP_BDI!Print_Area_0</vt:lpstr>
      <vt:lpstr>COMP_BDI!Print_Area_0_0</vt:lpstr>
      <vt:lpstr>COMP_BDI!sda</vt:lpstr>
      <vt:lpstr>COMP_BDI!sdf</vt:lpstr>
      <vt:lpstr>Composições!Titulos_de_impressao</vt:lpstr>
      <vt:lpstr>'Orçamento Sintético'!Titulos_de_impressao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axlsx</dc:creator>
  <cp:lastModifiedBy>Joao Carlos Godoy Ilha</cp:lastModifiedBy>
  <cp:revision>0</cp:revision>
  <cp:lastPrinted>2023-06-02T19:46:07Z</cp:lastPrinted>
  <dcterms:created xsi:type="dcterms:W3CDTF">2023-02-01T16:45:04Z</dcterms:created>
  <dcterms:modified xsi:type="dcterms:W3CDTF">2023-06-02T19:47:23Z</dcterms:modified>
</cp:coreProperties>
</file>