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_CUSTOS" sheetId="1" r:id="rId4"/>
    <sheet state="hidden" name="AUX" sheetId="2" r:id="rId5"/>
  </sheets>
  <definedNames>
    <definedName name="PERCENT_MODULO_3">PLANILHA_CUSTOS!$G$99</definedName>
    <definedName name="VALOR_POSTO">PLANILHA_CUSTOS!$H$156</definedName>
    <definedName name="MODULO_4.1">PLANILHA_CUSTOS!$H$110</definedName>
    <definedName name="SAL_MINIMO">AUX!$B$8</definedName>
    <definedName name="PERCENT_MODULO_2.2">PLANILHA_CUSTOS!$G$63</definedName>
    <definedName name="MODULO_2.2">PLANILHA_CUSTOS!$H$63</definedName>
    <definedName name="PERCENT_MODULO_2.1">PLANILHA_CUSTOS!$G$50</definedName>
    <definedName name="PERCENT_MODULO_4.1">PLANILHA_CUSTOS!$G$110</definedName>
    <definedName name="LUCRO">PLANILHA_CUSTOS!$H$137</definedName>
    <definedName name="MODULO_4">PLANILHA_CUSTOS!$H$121</definedName>
    <definedName name="MODULO_2">PLANILHA_CUSTOS!$H$89</definedName>
    <definedName name="MODULO_2.3">PLANILHA_CUSTOS!$H$76</definedName>
    <definedName name="SALARIO_BASE">PLANILHA_CUSTOS!$H$37</definedName>
    <definedName name="EMPREG_POR_POSTO">PLANILHA_CUSTOS!$E$156</definedName>
    <definedName name="MODULO_5">PLANILHA_CUSTOS!$H$130</definedName>
    <definedName name="PERICULOSIDADE">PLANILHA_CUSTOS!$H$38</definedName>
    <definedName name="MODULO_2.1">PLANILHA_CUSTOS!$H$50</definedName>
    <definedName name="MODULO_1">PLANILHA_CUSTOS!$H$43</definedName>
    <definedName name="MODULO_2.4">PLANILHA_CUSTOS!$H$81</definedName>
    <definedName name="MODULO_6">PLANILHA_CUSTOS!$H$144</definedName>
    <definedName name="CUSTO_INDIRETO">PLANILHA_CUSTOS!$H$136</definedName>
    <definedName name="MODULO_3">PLANILHA_CUSTOS!$H$99</definedName>
    <definedName name="MODULO_4.2">PLANILHA_CUSTOS!$H$115</definedName>
    <definedName name="DIAS_TRABALHADOS">PLANILHA_CUSTOS!$G$32</definedName>
  </definedNames>
  <calcPr/>
</workbook>
</file>

<file path=xl/sharedStrings.xml><?xml version="1.0" encoding="utf-8"?>
<sst xmlns="http://schemas.openxmlformats.org/spreadsheetml/2006/main" count="275" uniqueCount="173">
  <si>
    <t>PROPOSTA</t>
  </si>
  <si>
    <t>PLANILHA DE CUSTOS E FORMAÇÃO DE PREÇOS</t>
  </si>
  <si>
    <t>Informações Gerais</t>
  </si>
  <si>
    <r>
      <rPr>
        <rFont val="Arial"/>
        <b/>
        <color theme="1"/>
        <sz val="8.0"/>
      </rPr>
      <t>Órgão Licitante:</t>
    </r>
    <r>
      <rPr>
        <rFont val="Arial"/>
        <b/>
        <color rgb="FF0000FF"/>
        <sz val="8.0"/>
      </rPr>
      <t xml:space="preserve"> TRIBUNAL REGIONAL DO TRABALHO DA 12ª REGIÃO</t>
    </r>
  </si>
  <si>
    <t xml:space="preserve">Nº do Processo: </t>
  </si>
  <si>
    <t>Licitação nº :</t>
  </si>
  <si>
    <t xml:space="preserve">Razão Social: </t>
  </si>
  <si>
    <t>CNPJ:</t>
  </si>
  <si>
    <t>Endereço Comercial:</t>
  </si>
  <si>
    <t>Bairro:</t>
  </si>
  <si>
    <t>Cidade:</t>
  </si>
  <si>
    <r>
      <rPr>
        <rFont val="Arial"/>
        <color theme="1"/>
        <sz val="8.0"/>
      </rPr>
      <t>Estado:</t>
    </r>
    <r>
      <rPr>
        <rFont val="Arial"/>
        <color rgb="FF0000FF"/>
        <sz val="8.0"/>
      </rPr>
      <t xml:space="preserve"> </t>
    </r>
  </si>
  <si>
    <t>CEP:</t>
  </si>
  <si>
    <t>Telefone:</t>
  </si>
  <si>
    <t>Email:</t>
  </si>
  <si>
    <t>Validade da Proposta: 60 dias</t>
  </si>
  <si>
    <t>Discriminação dos Serviços (dados referentes à contratação)</t>
  </si>
  <si>
    <t>A</t>
  </si>
  <si>
    <t>Data de apresentação da proposta (dia/mês/ano):</t>
  </si>
  <si>
    <t>B</t>
  </si>
  <si>
    <t>Município/UF (onde o serviço será prestado):</t>
  </si>
  <si>
    <t>ITAJAÍ / SC</t>
  </si>
  <si>
    <t>C</t>
  </si>
  <si>
    <t>Acordo, Convenção ou Sentença em Dissídio Coletivo:</t>
  </si>
  <si>
    <t>CCT 2023/2024</t>
  </si>
  <si>
    <t>D</t>
  </si>
  <si>
    <t>Nº de meses da execução contratual:</t>
  </si>
  <si>
    <t>Identificação do Serviço</t>
  </si>
  <si>
    <t>Tipo de Serviço/Carga Horária</t>
  </si>
  <si>
    <t>Empregados por Posto</t>
  </si>
  <si>
    <t>Unidade de Medida</t>
  </si>
  <si>
    <t>Qtdade. Total a Contratar
(Nº de Postos)</t>
  </si>
  <si>
    <t>Posto de Trabalho de VIGILANTE - 30 horas semanais (6h diárias, seg-sex, 13h às 19h)</t>
  </si>
  <si>
    <t>Posto de Serviço</t>
  </si>
  <si>
    <t>Mão de Obra</t>
  </si>
  <si>
    <t>Mão de Obra Vinculada à Execução Contratual</t>
  </si>
  <si>
    <t>Dados Complementares para Composição dos Custos Referentes à Mão de Obra</t>
  </si>
  <si>
    <t>Tipo de serviço (descrição resumida):</t>
  </si>
  <si>
    <t>VIGILÂNCIA ARMADA</t>
  </si>
  <si>
    <t>Classificação Brasileira de Ocupações (CBO):</t>
  </si>
  <si>
    <t>5173-30</t>
  </si>
  <si>
    <t>Salário Normativo da Categoria Profissional:</t>
  </si>
  <si>
    <t>Categoria Profissional (vinculada à execução contratual):</t>
  </si>
  <si>
    <t>VIGILANTE</t>
  </si>
  <si>
    <t>E</t>
  </si>
  <si>
    <t>Data-Base da Categoria (dia/mês):</t>
  </si>
  <si>
    <t>F</t>
  </si>
  <si>
    <t>Dias Trabalhados no Mês:</t>
  </si>
  <si>
    <t>G</t>
  </si>
  <si>
    <t>Local de Execução dos Serviços:</t>
  </si>
  <si>
    <t>FORO TRABALHISTA DE ITAJAÍ / SC</t>
  </si>
  <si>
    <t>MÓDULO 1: COMPOSIÇÃO DA REMUNERAÇÃO</t>
  </si>
  <si>
    <t>Rubrica</t>
  </si>
  <si>
    <t>Percentual (%)</t>
  </si>
  <si>
    <t>Valor (R$)</t>
  </si>
  <si>
    <t>Salário-Base:</t>
  </si>
  <si>
    <t>Adicional de Periculosidade:</t>
  </si>
  <si>
    <t>SIM</t>
  </si>
  <si>
    <t>Adicional de Insalubridade:</t>
  </si>
  <si>
    <t>NÃO</t>
  </si>
  <si>
    <t>SALÁRIO-BASE</t>
  </si>
  <si>
    <t>Adicional Noturno:</t>
  </si>
  <si>
    <t>Adicional de Hora Noturna Reduzida:</t>
  </si>
  <si>
    <t>Outros (especificar):</t>
  </si>
  <si>
    <t>Total da Remuneração:</t>
  </si>
  <si>
    <t>MÓDULO 2: ENCARGOS E BENEFÍCIOS ANUAIS, MENSAIS E DIÁRIOS</t>
  </si>
  <si>
    <t xml:space="preserve">SUBMÓDULO 2.1: 13º Salário, Férias e Adicional de Férias </t>
  </si>
  <si>
    <t>13º Salário:</t>
  </si>
  <si>
    <t>Férias e Adicional de Férias:</t>
  </si>
  <si>
    <t>Subtotal:</t>
  </si>
  <si>
    <r>
      <rPr>
        <rFont val="Arial"/>
        <b/>
        <color theme="1"/>
        <sz val="9.0"/>
      </rPr>
      <t xml:space="preserve">SUBMÓDULO 2.2: GPS, FGTS e Outras Contribuições </t>
    </r>
    <r>
      <rPr>
        <rFont val="Arial"/>
        <b/>
        <color rgb="FFFF0000"/>
        <sz val="9.0"/>
      </rPr>
      <t>(Incide sobre os Módulos 1 e 2.1)</t>
    </r>
  </si>
  <si>
    <t>INSS:</t>
  </si>
  <si>
    <t>DESONERAÇÃO FOLHA DE PAGAMENTO:</t>
  </si>
  <si>
    <t>Salário Educação:</t>
  </si>
  <si>
    <t>Seguro Acidente de Trabalho:</t>
  </si>
  <si>
    <t xml:space="preserve"> RAT x FAP ; utilizar o FAP efetivo conforme GFIP ou FAP-WEB</t>
  </si>
  <si>
    <t>RAT = 3%</t>
  </si>
  <si>
    <t xml:space="preserve">FAP = </t>
  </si>
  <si>
    <t>SESI ou SESC:</t>
  </si>
  <si>
    <t>SENAI ou SENAC:</t>
  </si>
  <si>
    <t>SEBRAE:</t>
  </si>
  <si>
    <t>INCRA:</t>
  </si>
  <si>
    <t>H</t>
  </si>
  <si>
    <t>FGTS:</t>
  </si>
  <si>
    <t>SUBMÓDULO 2.3: Benefícios Mensais e Diários</t>
  </si>
  <si>
    <t>Valor unitário (R$)</t>
  </si>
  <si>
    <t>Valor Mensal (R$)</t>
  </si>
  <si>
    <t>Auxílio Transporte:</t>
  </si>
  <si>
    <t>Valor Ticket:</t>
  </si>
  <si>
    <t>(-) Desconto Auxílio Transporte:</t>
  </si>
  <si>
    <t>Auxílio Alimentação/Refeição:</t>
  </si>
  <si>
    <t>(-) Desconto Auxílio Alimentação/Refeição:</t>
  </si>
  <si>
    <t>Benefício de Assistência ao Trabalhador (Saúde e Qualificação Profissional):</t>
  </si>
  <si>
    <t>-</t>
  </si>
  <si>
    <t>Seguros de Vida, Invalidez e Funeral:</t>
  </si>
  <si>
    <t>Prêmio Assiduidade:</t>
  </si>
  <si>
    <t>SUBMÓDULO 2.4: Intervalo Intrajornada do Titular</t>
  </si>
  <si>
    <t>Intervalo Intrajornada</t>
  </si>
  <si>
    <t>QUADRO-RESUMO DO MÓDULO 2: ENCARGOS E BENEFÍCIOS ANUAIS, MENSAIS E DIÁRIOS</t>
  </si>
  <si>
    <t>13º Salário, Férias e Adicional de Férias:</t>
  </si>
  <si>
    <t>GPS, FGTS e Outras Contribuições:</t>
  </si>
  <si>
    <t>Benefícios Mensais e Diários:</t>
  </si>
  <si>
    <t>Intervalo Intrajornada do Titular:</t>
  </si>
  <si>
    <t>Total:</t>
  </si>
  <si>
    <t>MÓDULO 3: PROVISÃO PARA RESCISÃO</t>
  </si>
  <si>
    <t>Aviso Prévio Indenizado:</t>
  </si>
  <si>
    <t>Incidência do FGTS sobre o Aviso Prévio Indenizado:</t>
  </si>
  <si>
    <r>
      <rPr>
        <rFont val="Arial"/>
        <color theme="1"/>
        <sz val="8.0"/>
      </rPr>
      <t xml:space="preserve">Multa do FGTS </t>
    </r>
    <r>
      <rPr>
        <rFont val="Arial"/>
        <strike/>
        <color theme="1"/>
        <sz val="8.0"/>
      </rPr>
      <t>e Contribuição Social</t>
    </r>
    <r>
      <rPr>
        <rFont val="Arial"/>
        <color theme="1"/>
        <sz val="8.0"/>
      </rPr>
      <t xml:space="preserve"> sobre o Aviso Prévio Indenizado:</t>
    </r>
  </si>
  <si>
    <t>Aviso Prévio Trabalhado:</t>
  </si>
  <si>
    <t>Incidência do Submódulo 2.2 sobre o Aviso Prévio Trabalhado:</t>
  </si>
  <si>
    <r>
      <rPr>
        <rFont val="Arial"/>
        <color theme="1"/>
        <sz val="8.0"/>
      </rPr>
      <t xml:space="preserve">Multa do FGTS </t>
    </r>
    <r>
      <rPr>
        <rFont val="Arial"/>
        <strike/>
        <color theme="1"/>
        <sz val="8.0"/>
      </rPr>
      <t>e Contribuição Social</t>
    </r>
    <r>
      <rPr>
        <rFont val="Arial"/>
        <color theme="1"/>
        <sz val="8.0"/>
      </rPr>
      <t xml:space="preserve"> sobre o Aviso Prévio Trabalhado:</t>
    </r>
  </si>
  <si>
    <t>MÓDULO 4: CUSTO DE REPOSIÇÃO DO PROFISSIONAL AUSENTE</t>
  </si>
  <si>
    <t>SUBMÓDULO 4.1: Substituto nas Ausências Legais</t>
  </si>
  <si>
    <t>Substituto na Cobertura de Férias:</t>
  </si>
  <si>
    <t>Substituto na Cobertura de Ausências Legais:</t>
  </si>
  <si>
    <t>Substituto na Cobertura de Licença-Paternidade:</t>
  </si>
  <si>
    <t>Substituto na Cobertura de Ausência por Acidente de Trabalho:</t>
  </si>
  <si>
    <t>Substituto na Cobertura de Afastamento Maternidade:</t>
  </si>
  <si>
    <t>Substituto na Cobertura de Outras Ausências (doença):</t>
  </si>
  <si>
    <t>SUBMÓDULO 4.2: Substituto na Intrajornada</t>
  </si>
  <si>
    <t>Substituto na Cobertura de Intervalo para Repouso ou Alimentação:</t>
  </si>
  <si>
    <t>QUADRO-RESUMO DO MÓDULO 4: CUSTO DE REPOSIÇÃO DO PROFISSIONAL AUSENTE</t>
  </si>
  <si>
    <t>Substituto nas Ausências Legais:</t>
  </si>
  <si>
    <t>Substituto na Intrajornada:</t>
  </si>
  <si>
    <t>Total</t>
  </si>
  <si>
    <t>MÓDULO 5: INSUMOS DIVERSOS</t>
  </si>
  <si>
    <t>Uniformes:</t>
  </si>
  <si>
    <t>Equipamentos (depreciação):</t>
  </si>
  <si>
    <t>TOTAL DE ENCARGOS:</t>
  </si>
  <si>
    <t>MÓDULO 6: CUSTOS INDIRETOS, TRIBUTOS E LUCRO</t>
  </si>
  <si>
    <t>Custos Indiretos:</t>
  </si>
  <si>
    <t>Lucro:</t>
  </si>
  <si>
    <t>C.1</t>
  </si>
  <si>
    <t>Tributos Federais:</t>
  </si>
  <si>
    <t>Regime Tributário:</t>
  </si>
  <si>
    <t>LUCRO PRESUMIDO</t>
  </si>
  <si>
    <t>C.1.A</t>
  </si>
  <si>
    <t>PIS:</t>
  </si>
  <si>
    <t>C.1.B</t>
  </si>
  <si>
    <t>COFINS:</t>
  </si>
  <si>
    <t>C.1.C</t>
  </si>
  <si>
    <t>C.3</t>
  </si>
  <si>
    <t>Tributos Municipais:</t>
  </si>
  <si>
    <t>C.3.A</t>
  </si>
  <si>
    <t>ISS:</t>
  </si>
  <si>
    <t>QUADRO-RESUMO DO CUSTO POR EMPREGADO</t>
  </si>
  <si>
    <t>Mão-de-Obra Vinculada à Execução Contratual (valor por empregado)</t>
  </si>
  <si>
    <t>Módulo 1 - Composição da Remuneração:</t>
  </si>
  <si>
    <t>Módulo 2 - Encargos e Benefícios Anuais, Mensais e Diários:</t>
  </si>
  <si>
    <t>Módulo 3 - Provisão para Rescisão:</t>
  </si>
  <si>
    <t>Módulo 4: Custo de Reposição do Profissional Ausente:</t>
  </si>
  <si>
    <t>Módulo 5: insumos Diversos:</t>
  </si>
  <si>
    <t>Subtotal (A + B + C + D + E):</t>
  </si>
  <si>
    <t>Módulo 6 - Custos Indiretos, Tributos e Lucro:</t>
  </si>
  <si>
    <t>VALOR MENSAL TOTAL POR EMPREGADO:</t>
  </si>
  <si>
    <t>EMPREGADOS POR POSTO:</t>
  </si>
  <si>
    <t>VALOR MENSAL TOTAL POR POSTO:</t>
  </si>
  <si>
    <t>QUANTIDADE DE POSTOS:</t>
  </si>
  <si>
    <t>VALOR MENSAL DO CONTRATO:</t>
  </si>
  <si>
    <t>VALOR TOTAL DO CONTRATO:</t>
  </si>
  <si>
    <t>INSALUBRIDADE</t>
  </si>
  <si>
    <t>DIAS TRABALHADOS NO MÊS</t>
  </si>
  <si>
    <t>GRAU</t>
  </si>
  <si>
    <t>PERCENTUAL</t>
  </si>
  <si>
    <t>12x36</t>
  </si>
  <si>
    <t>MÁXIMO</t>
  </si>
  <si>
    <t>SEG-SEX 40H</t>
  </si>
  <si>
    <t>MÉDIO</t>
  </si>
  <si>
    <t>GENÉRICO</t>
  </si>
  <si>
    <t>MÍNIMO</t>
  </si>
  <si>
    <t>SEG-SAB 44H</t>
  </si>
  <si>
    <t>365/12</t>
  </si>
  <si>
    <t>SALÁRIO MÍNIMO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</si>
</sst>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#0.00;(#,##0.00)"/>
    <numFmt numFmtId="165" formatCode="dd/MM/yyyy"/>
    <numFmt numFmtId="166" formatCode="[$R$ -416]#,##0.00"/>
    <numFmt numFmtId="167" formatCode="d.m"/>
    <numFmt numFmtId="168" formatCode="0.0000"/>
    <numFmt numFmtId="169" formatCode="0.000%"/>
  </numFmts>
  <fonts count="16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9.0"/>
      <color theme="1"/>
      <name val="Arial"/>
      <scheme val="minor"/>
    </font>
    <font>
      <b/>
      <sz val="8.0"/>
      <color theme="1"/>
      <name val="Arial"/>
      <scheme val="minor"/>
    </font>
    <font>
      <sz val="8.0"/>
      <color theme="1"/>
      <name val="Arial"/>
      <scheme val="minor"/>
    </font>
    <font>
      <b/>
      <sz val="8.0"/>
      <color rgb="FFFF0000"/>
      <name val="Arial"/>
      <scheme val="minor"/>
    </font>
    <font>
      <sz val="8.0"/>
      <color rgb="FF0000FF"/>
      <name val="Arial"/>
      <scheme val="minor"/>
    </font>
    <font>
      <b/>
      <sz val="8.0"/>
      <color rgb="FF0000FF"/>
      <name val="Arial"/>
      <scheme val="minor"/>
    </font>
    <font>
      <sz val="8.0"/>
      <color rgb="FFFF0000"/>
      <name val="Arial"/>
      <scheme val="minor"/>
    </font>
    <font>
      <sz val="10.0"/>
      <color rgb="FF0000FF"/>
      <name val="Arial"/>
      <scheme val="minor"/>
    </font>
    <font>
      <b/>
      <sz val="10.0"/>
      <color rgb="FF0000FF"/>
      <name val="Arial"/>
      <scheme val="minor"/>
    </font>
    <font>
      <b/>
      <sz val="10.0"/>
      <color theme="1"/>
      <name val="Arial"/>
      <scheme val="minor"/>
    </font>
    <font>
      <b/>
      <sz val="10.0"/>
      <color theme="5"/>
      <name val="Arial"/>
      <scheme val="minor"/>
    </font>
    <font/>
    <font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D9D9D9"/>
        <bgColor rgb="FFD9D9D9"/>
      </patternFill>
    </fill>
    <fill>
      <patternFill patternType="solid">
        <fgColor rgb="FFFFD966"/>
        <bgColor rgb="FFFFD966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2" fontId="2" numFmtId="0" xfId="0" applyAlignment="1" applyFill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4" numFmtId="0" xfId="0" applyAlignment="1" applyFill="1" applyFont="1">
      <alignment readingOrder="0"/>
    </xf>
    <xf borderId="0" fillId="4" fontId="4" numFmtId="0" xfId="0" applyAlignment="1" applyFill="1" applyFont="1">
      <alignment readingOrder="0"/>
    </xf>
    <xf borderId="0" fillId="3" fontId="5" numFmtId="0" xfId="0" applyAlignment="1" applyFont="1">
      <alignment readingOrder="0"/>
    </xf>
    <xf borderId="0" fillId="4" fontId="5" numFmtId="0" xfId="0" applyAlignment="1" applyFont="1">
      <alignment readingOrder="0"/>
    </xf>
    <xf borderId="0" fillId="0" fontId="2" numFmtId="0" xfId="0" applyFont="1"/>
    <xf borderId="0" fillId="2" fontId="4" numFmtId="0" xfId="0" applyAlignment="1" applyFont="1">
      <alignment horizontal="left" readingOrder="0"/>
    </xf>
    <xf borderId="0" fillId="2" fontId="6" numFmtId="0" xfId="0" applyAlignment="1" applyFont="1">
      <alignment horizontal="right" readingOrder="0"/>
    </xf>
    <xf borderId="0" fillId="4" fontId="5" numFmtId="0" xfId="0" applyAlignment="1" applyFont="1">
      <alignment horizontal="center" readingOrder="0"/>
    </xf>
    <xf borderId="0" fillId="4" fontId="5" numFmtId="0" xfId="0" applyAlignment="1" applyFont="1">
      <alignment horizontal="left" readingOrder="0"/>
    </xf>
    <xf borderId="0" fillId="4" fontId="7" numFmtId="165" xfId="0" applyAlignment="1" applyFont="1" applyNumberFormat="1">
      <alignment horizontal="center" readingOrder="0"/>
    </xf>
    <xf borderId="0" fillId="3" fontId="5" numFmtId="0" xfId="0" applyAlignment="1" applyFont="1">
      <alignment horizontal="center" readingOrder="0"/>
    </xf>
    <xf borderId="0" fillId="3" fontId="5" numFmtId="0" xfId="0" applyAlignment="1" applyFont="1">
      <alignment horizontal="left" readingOrder="0"/>
    </xf>
    <xf borderId="0" fillId="3" fontId="7" numFmtId="0" xfId="0" applyAlignment="1" applyFont="1">
      <alignment horizontal="center" readingOrder="0"/>
    </xf>
    <xf borderId="0" fillId="4" fontId="7" numFmtId="0" xfId="0" applyAlignment="1" applyFont="1">
      <alignment horizontal="center" readingOrder="0"/>
    </xf>
    <xf borderId="0" fillId="2" fontId="3" numFmtId="0" xfId="0" applyAlignment="1" applyFont="1">
      <alignment horizontal="center" readingOrder="0" vertical="center"/>
    </xf>
    <xf borderId="0" fillId="2" fontId="3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3" fontId="7" numFmtId="0" xfId="0" applyAlignment="1" applyFont="1">
      <alignment horizontal="center" readingOrder="0" shrinkToFit="0" vertical="center" wrapText="1"/>
    </xf>
    <xf borderId="0" fillId="4" fontId="5" numFmtId="0" xfId="0" applyAlignment="1" applyFont="1">
      <alignment horizontal="center" readingOrder="0" vertical="center"/>
    </xf>
    <xf borderId="0" fillId="4" fontId="5" numFmtId="0" xfId="0" applyAlignment="1" applyFont="1">
      <alignment horizontal="left" readingOrder="0" vertical="center"/>
    </xf>
    <xf borderId="0" fillId="4" fontId="7" numFmtId="0" xfId="0" applyAlignment="1" applyFont="1">
      <alignment horizontal="center" readingOrder="0" shrinkToFit="0" vertical="center" wrapText="1"/>
    </xf>
    <xf borderId="0" fillId="3" fontId="5" numFmtId="0" xfId="0" applyAlignment="1" applyFont="1">
      <alignment horizontal="center" readingOrder="0" vertical="center"/>
    </xf>
    <xf borderId="0" fillId="3" fontId="5" numFmtId="0" xfId="0" applyAlignment="1" applyFont="1">
      <alignment horizontal="left" readingOrder="0" vertical="center"/>
    </xf>
    <xf borderId="0" fillId="3" fontId="7" numFmtId="0" xfId="0" applyAlignment="1" applyFont="1">
      <alignment horizontal="center" readingOrder="0" vertical="center"/>
    </xf>
    <xf borderId="0" fillId="4" fontId="7" numFmtId="166" xfId="0" applyAlignment="1" applyFont="1" applyNumberFormat="1">
      <alignment horizontal="center" readingOrder="0" vertical="center"/>
    </xf>
    <xf borderId="0" fillId="4" fontId="7" numFmtId="165" xfId="0" applyAlignment="1" applyFont="1" applyNumberFormat="1">
      <alignment horizontal="center" readingOrder="0" vertical="center"/>
    </xf>
    <xf borderId="0" fillId="0" fontId="1" numFmtId="0" xfId="0" applyAlignment="1" applyFont="1">
      <alignment vertical="center"/>
    </xf>
    <xf borderId="0" fillId="3" fontId="7" numFmtId="2" xfId="0" applyAlignment="1" applyFont="1" applyNumberFormat="1">
      <alignment horizontal="center" readingOrder="0" vertical="center"/>
    </xf>
    <xf borderId="0" fillId="5" fontId="3" numFmtId="0" xfId="0" applyAlignment="1" applyFill="1" applyFont="1">
      <alignment horizontal="center" readingOrder="0"/>
    </xf>
    <xf borderId="0" fillId="6" fontId="3" numFmtId="0" xfId="0" applyAlignment="1" applyFill="1" applyFont="1">
      <alignment horizontal="right" readingOrder="0"/>
    </xf>
    <xf borderId="0" fillId="6" fontId="3" numFmtId="0" xfId="0" applyAlignment="1" applyFont="1">
      <alignment horizontal="left" readingOrder="0"/>
    </xf>
    <xf borderId="0" fillId="6" fontId="3" numFmtId="0" xfId="0" applyAlignment="1" applyFont="1">
      <alignment horizontal="center" readingOrder="0"/>
    </xf>
    <xf borderId="0" fillId="6" fontId="3" numFmtId="164" xfId="0" applyAlignment="1" applyFont="1" applyNumberFormat="1">
      <alignment horizontal="center" readingOrder="0"/>
    </xf>
    <xf borderId="0" fillId="0" fontId="5" numFmtId="0" xfId="0" applyAlignment="1" applyFont="1">
      <alignment horizontal="right" readingOrder="0"/>
    </xf>
    <xf borderId="0" fillId="0" fontId="5" numFmtId="0" xfId="0" applyAlignment="1" applyFont="1">
      <alignment horizontal="left" readingOrder="0"/>
    </xf>
    <xf borderId="0" fillId="0" fontId="5" numFmtId="10" xfId="0" applyAlignment="1" applyFont="1" applyNumberFormat="1">
      <alignment horizontal="center" readingOrder="0"/>
    </xf>
    <xf borderId="0" fillId="0" fontId="5" numFmtId="164" xfId="0" applyAlignment="1" applyFont="1" applyNumberFormat="1">
      <alignment readingOrder="0"/>
    </xf>
    <xf borderId="0" fillId="3" fontId="5" numFmtId="0" xfId="0" applyAlignment="1" applyFont="1">
      <alignment horizontal="right" readingOrder="0"/>
    </xf>
    <xf borderId="0" fillId="3" fontId="8" numFmtId="0" xfId="0" applyAlignment="1" applyFont="1">
      <alignment horizontal="center" readingOrder="0"/>
    </xf>
    <xf borderId="0" fillId="3" fontId="5" numFmtId="10" xfId="0" applyAlignment="1" applyFont="1" applyNumberFormat="1">
      <alignment horizontal="center" readingOrder="0"/>
    </xf>
    <xf borderId="0" fillId="3" fontId="5" numFmtId="164" xfId="0" applyFont="1" applyNumberFormat="1"/>
    <xf borderId="0" fillId="0" fontId="8" numFmtId="0" xfId="0" applyAlignment="1" applyFont="1">
      <alignment horizontal="center" readingOrder="0"/>
    </xf>
    <xf borderId="0" fillId="0" fontId="5" numFmtId="164" xfId="0" applyFont="1" applyNumberFormat="1"/>
    <xf borderId="0" fillId="3" fontId="5" numFmtId="164" xfId="0" applyAlignment="1" applyFont="1" applyNumberFormat="1">
      <alignment readingOrder="0"/>
    </xf>
    <xf borderId="0" fillId="5" fontId="3" numFmtId="0" xfId="0" applyAlignment="1" applyFont="1">
      <alignment horizontal="right" readingOrder="0"/>
    </xf>
    <xf borderId="0" fillId="5" fontId="3" numFmtId="166" xfId="0" applyAlignment="1" applyFont="1" applyNumberFormat="1">
      <alignment horizontal="right" readingOrder="0"/>
    </xf>
    <xf borderId="0" fillId="6" fontId="3" numFmtId="167" xfId="0" applyAlignment="1" applyFont="1" applyNumberFormat="1">
      <alignment horizontal="right" readingOrder="0"/>
    </xf>
    <xf borderId="0" fillId="3" fontId="5" numFmtId="10" xfId="0" applyAlignment="1" applyFont="1" applyNumberFormat="1">
      <alignment horizontal="center"/>
    </xf>
    <xf borderId="0" fillId="6" fontId="3" numFmtId="10" xfId="0" applyAlignment="1" applyFont="1" applyNumberFormat="1">
      <alignment horizontal="center" readingOrder="0"/>
    </xf>
    <xf borderId="0" fillId="6" fontId="3" numFmtId="166" xfId="0" applyAlignment="1" applyFont="1" applyNumberFormat="1">
      <alignment horizontal="right" readingOrder="0"/>
    </xf>
    <xf borderId="0" fillId="0" fontId="5" numFmtId="0" xfId="0" applyAlignment="1" applyFont="1">
      <alignment horizontal="right" readingOrder="0" vertical="center"/>
    </xf>
    <xf borderId="0" fillId="0" fontId="5" numFmtId="0" xfId="0" applyAlignment="1" applyFont="1">
      <alignment horizontal="left" readingOrder="0" vertical="center"/>
    </xf>
    <xf borderId="0" fillId="0" fontId="4" numFmtId="0" xfId="0" applyAlignment="1" applyFont="1">
      <alignment horizontal="right" readingOrder="0" shrinkToFit="0" vertical="center" wrapText="1"/>
    </xf>
    <xf borderId="0" fillId="0" fontId="8" numFmtId="0" xfId="0" applyAlignment="1" applyFont="1">
      <alignment horizontal="left" readingOrder="0" vertical="center"/>
    </xf>
    <xf borderId="0" fillId="0" fontId="5" numFmtId="10" xfId="0" applyAlignment="1" applyFont="1" applyNumberFormat="1">
      <alignment horizontal="center" readingOrder="0" vertical="center"/>
    </xf>
    <xf borderId="0" fillId="0" fontId="5" numFmtId="164" xfId="0" applyAlignment="1" applyFont="1" applyNumberFormat="1">
      <alignment vertical="center"/>
    </xf>
    <xf borderId="0" fillId="0" fontId="9" numFmtId="0" xfId="0" applyAlignment="1" applyFont="1">
      <alignment horizontal="center" readingOrder="0"/>
    </xf>
    <xf borderId="0" fillId="0" fontId="5" numFmtId="10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right" vertical="center"/>
    </xf>
    <xf borderId="0" fillId="0" fontId="8" numFmtId="0" xfId="0" applyAlignment="1" applyFont="1">
      <alignment horizontal="right" readingOrder="0"/>
    </xf>
    <xf borderId="0" fillId="0" fontId="4" numFmtId="0" xfId="0" applyAlignment="1" applyFont="1">
      <alignment horizontal="left" readingOrder="0"/>
    </xf>
    <xf borderId="0" fillId="0" fontId="8" numFmtId="168" xfId="0" applyAlignment="1" applyFont="1" applyNumberFormat="1">
      <alignment horizontal="left" readingOrder="0"/>
    </xf>
    <xf borderId="0" fillId="0" fontId="5" numFmtId="10" xfId="0" applyAlignment="1" applyFont="1" applyNumberFormat="1">
      <alignment horizontal="center"/>
    </xf>
    <xf borderId="0" fillId="0" fontId="4" numFmtId="0" xfId="0" applyAlignment="1" applyFont="1">
      <alignment horizontal="right" readingOrder="0"/>
    </xf>
    <xf borderId="0" fillId="0" fontId="7" numFmtId="166" xfId="0" applyAlignment="1" applyFont="1" applyNumberFormat="1">
      <alignment horizontal="center" readingOrder="0"/>
    </xf>
    <xf borderId="0" fillId="3" fontId="5" numFmtId="0" xfId="0" applyAlignment="1" applyFont="1">
      <alignment horizontal="left" readingOrder="0" shrinkToFit="0" wrapText="0"/>
    </xf>
    <xf borderId="0" fillId="3" fontId="4" numFmtId="0" xfId="0" applyAlignment="1" applyFont="1">
      <alignment horizontal="right" readingOrder="0"/>
    </xf>
    <xf borderId="0" fillId="3" fontId="7" numFmtId="166" xfId="0" applyAlignment="1" applyFont="1" applyNumberFormat="1">
      <alignment horizontal="center" readingOrder="0"/>
    </xf>
    <xf borderId="0" fillId="3" fontId="7" numFmtId="10" xfId="0" applyAlignment="1" applyFont="1" applyNumberFormat="1">
      <alignment horizontal="center" readingOrder="0"/>
    </xf>
    <xf borderId="0" fillId="0" fontId="5" numFmtId="0" xfId="0" applyAlignment="1" applyFont="1">
      <alignment horizontal="center" readingOrder="0"/>
    </xf>
    <xf borderId="0" fillId="0" fontId="10" numFmtId="1" xfId="0" applyAlignment="1" applyFont="1" applyNumberFormat="1">
      <alignment horizontal="center" readingOrder="0"/>
    </xf>
    <xf borderId="0" fillId="0" fontId="4" numFmtId="167" xfId="0" applyAlignment="1" applyFont="1" applyNumberFormat="1">
      <alignment horizontal="right" readingOrder="0"/>
    </xf>
    <xf borderId="0" fillId="0" fontId="4" numFmtId="164" xfId="0" applyFont="1" applyNumberFormat="1"/>
    <xf borderId="0" fillId="3" fontId="4" numFmtId="167" xfId="0" applyAlignment="1" applyFont="1" applyNumberFormat="1">
      <alignment horizontal="right" readingOrder="0"/>
    </xf>
    <xf borderId="0" fillId="3" fontId="4" numFmtId="0" xfId="0" applyAlignment="1" applyFont="1">
      <alignment horizontal="left" readingOrder="0"/>
    </xf>
    <xf borderId="0" fillId="3" fontId="4" numFmtId="164" xfId="0" applyFont="1" applyNumberFormat="1"/>
    <xf borderId="0" fillId="3" fontId="5" numFmtId="169" xfId="0" applyAlignment="1" applyFont="1" applyNumberFormat="1">
      <alignment horizontal="center" readingOrder="0"/>
    </xf>
    <xf borderId="0" fillId="5" fontId="3" numFmtId="10" xfId="0" applyAlignment="1" applyFont="1" applyNumberFormat="1">
      <alignment horizontal="center" readingOrder="0"/>
    </xf>
    <xf borderId="0" fillId="0" fontId="5" numFmtId="169" xfId="0" applyAlignment="1" applyFont="1" applyNumberFormat="1">
      <alignment horizontal="center" readingOrder="0"/>
    </xf>
    <xf borderId="0" fillId="0" fontId="10" numFmtId="1" xfId="0" applyAlignment="1" applyFont="1" applyNumberFormat="1">
      <alignment horizontal="center" readingOrder="0"/>
    </xf>
    <xf borderId="0" fillId="6" fontId="3" numFmtId="166" xfId="0" applyAlignment="1" applyFont="1" applyNumberFormat="1">
      <alignment horizontal="center" readingOrder="0"/>
    </xf>
    <xf borderId="0" fillId="0" fontId="4" numFmtId="10" xfId="0" applyAlignment="1" applyFont="1" applyNumberFormat="1">
      <alignment horizontal="center" readingOrder="0"/>
    </xf>
    <xf borderId="0" fillId="3" fontId="4" numFmtId="166" xfId="0" applyAlignment="1" applyFont="1" applyNumberFormat="1">
      <alignment horizontal="center" readingOrder="0"/>
    </xf>
    <xf borderId="0" fillId="0" fontId="7" numFmtId="4" xfId="0" applyAlignment="1" applyFont="1" applyNumberFormat="1">
      <alignment horizontal="right" readingOrder="0"/>
    </xf>
    <xf borderId="0" fillId="3" fontId="7" numFmtId="4" xfId="0" applyAlignment="1" applyFont="1" applyNumberFormat="1">
      <alignment horizontal="right" readingOrder="0"/>
    </xf>
    <xf borderId="0" fillId="2" fontId="1" numFmtId="0" xfId="0" applyFont="1"/>
    <xf borderId="0" fillId="2" fontId="3" numFmtId="0" xfId="0" applyAlignment="1" applyFont="1">
      <alignment horizontal="right" readingOrder="0"/>
    </xf>
    <xf borderId="0" fillId="2" fontId="3" numFmtId="10" xfId="0" applyAlignment="1" applyFont="1" applyNumberFormat="1">
      <alignment horizontal="center" readingOrder="0"/>
    </xf>
    <xf borderId="0" fillId="5" fontId="3" numFmtId="0" xfId="0" applyAlignment="1" applyFont="1">
      <alignment horizontal="center" readingOrder="0" vertical="center"/>
    </xf>
    <xf borderId="0" fillId="6" fontId="3" numFmtId="0" xfId="0" applyAlignment="1" applyFont="1">
      <alignment horizontal="right" readingOrder="0" vertical="center"/>
    </xf>
    <xf borderId="0" fillId="6" fontId="3" numFmtId="0" xfId="0" applyAlignment="1" applyFont="1">
      <alignment horizontal="left" readingOrder="0" vertical="center"/>
    </xf>
    <xf borderId="0" fillId="6" fontId="3" numFmtId="0" xfId="0" applyAlignment="1" applyFont="1">
      <alignment horizontal="center" readingOrder="0" vertical="center"/>
    </xf>
    <xf borderId="0" fillId="6" fontId="3" numFmtId="164" xfId="0" applyAlignment="1" applyFont="1" applyNumberFormat="1">
      <alignment horizontal="center" readingOrder="0" vertical="center"/>
    </xf>
    <xf borderId="0" fillId="0" fontId="4" numFmtId="0" xfId="0" applyAlignment="1" applyFont="1">
      <alignment horizontal="right" readingOrder="0" vertical="center"/>
    </xf>
    <xf borderId="0" fillId="0" fontId="4" numFmtId="0" xfId="0" applyAlignment="1" applyFont="1">
      <alignment horizontal="left" readingOrder="0" vertical="center"/>
    </xf>
    <xf borderId="0" fillId="0" fontId="11" numFmtId="10" xfId="0" applyAlignment="1" applyFont="1" applyNumberFormat="1">
      <alignment horizontal="center" readingOrder="0" vertical="center"/>
    </xf>
    <xf borderId="0" fillId="3" fontId="4" numFmtId="0" xfId="0" applyAlignment="1" applyFont="1">
      <alignment horizontal="right" readingOrder="0" vertical="center"/>
    </xf>
    <xf borderId="0" fillId="3" fontId="4" numFmtId="0" xfId="0" applyAlignment="1" applyFont="1">
      <alignment horizontal="left" readingOrder="0" vertical="center"/>
    </xf>
    <xf borderId="0" fillId="3" fontId="11" numFmtId="10" xfId="0" applyAlignment="1" applyFont="1" applyNumberFormat="1">
      <alignment horizontal="center" readingOrder="0" vertical="center"/>
    </xf>
    <xf borderId="0" fillId="3" fontId="5" numFmtId="164" xfId="0" applyAlignment="1" applyFont="1" applyNumberFormat="1">
      <alignment vertical="center"/>
    </xf>
    <xf borderId="0" fillId="0" fontId="4" numFmtId="10" xfId="0" applyAlignment="1" applyFont="1" applyNumberFormat="1">
      <alignment horizontal="center" vertical="center"/>
    </xf>
    <xf borderId="0" fillId="0" fontId="4" numFmtId="164" xfId="0" applyAlignment="1" applyFont="1" applyNumberFormat="1">
      <alignment vertical="center"/>
    </xf>
    <xf borderId="0" fillId="3" fontId="5" numFmtId="0" xfId="0" applyAlignment="1" applyFont="1">
      <alignment horizontal="right" readingOrder="0" vertical="center"/>
    </xf>
    <xf borderId="0" fillId="3" fontId="9" numFmtId="0" xfId="0" applyAlignment="1" applyFont="1">
      <alignment horizontal="left" readingOrder="0" shrinkToFit="0" vertical="center" wrapText="1"/>
    </xf>
    <xf borderId="0" fillId="3" fontId="5" numFmtId="10" xfId="0" applyAlignment="1" applyFont="1" applyNumberFormat="1">
      <alignment horizontal="center" vertical="center"/>
    </xf>
    <xf borderId="0" fillId="0" fontId="9" numFmtId="0" xfId="0" applyAlignment="1" applyFont="1">
      <alignment horizontal="left" readingOrder="0" shrinkToFit="0" vertical="center" wrapText="1"/>
    </xf>
    <xf borderId="0" fillId="3" fontId="5" numFmtId="0" xfId="0" applyAlignment="1" applyFont="1">
      <alignment horizontal="left" readingOrder="0" shrinkToFit="0" vertical="center" wrapText="1"/>
    </xf>
    <xf borderId="0" fillId="3" fontId="5" numFmtId="10" xfId="0" applyAlignment="1" applyFont="1" applyNumberFormat="1">
      <alignment horizontal="center" readingOrder="0" vertical="center"/>
    </xf>
    <xf borderId="0" fillId="3" fontId="5" numFmtId="164" xfId="0" applyAlignment="1" applyFont="1" applyNumberFormat="1">
      <alignment horizontal="right" readingOrder="0" vertical="center"/>
    </xf>
    <xf borderId="0" fillId="5" fontId="3" numFmtId="0" xfId="0" applyAlignment="1" applyFont="1">
      <alignment horizontal="right" readingOrder="0" vertical="center"/>
    </xf>
    <xf borderId="0" fillId="5" fontId="3" numFmtId="10" xfId="0" applyAlignment="1" applyFont="1" applyNumberFormat="1">
      <alignment horizontal="center" readingOrder="0" vertical="center"/>
    </xf>
    <xf borderId="0" fillId="5" fontId="3" numFmtId="166" xfId="0" applyAlignment="1" applyFont="1" applyNumberFormat="1">
      <alignment horizontal="right" readingOrder="0" vertical="center"/>
    </xf>
    <xf borderId="0" fillId="7" fontId="3" numFmtId="0" xfId="0" applyAlignment="1" applyFill="1" applyFont="1">
      <alignment horizontal="center" readingOrder="0"/>
    </xf>
    <xf borderId="0" fillId="6" fontId="4" numFmtId="0" xfId="0" applyAlignment="1" applyFont="1">
      <alignment horizontal="right" readingOrder="0"/>
    </xf>
    <xf borderId="0" fillId="6" fontId="4" numFmtId="164" xfId="0" applyFont="1" applyNumberFormat="1"/>
    <xf borderId="0" fillId="7" fontId="3" numFmtId="0" xfId="0" applyAlignment="1" applyFont="1">
      <alignment horizontal="right" readingOrder="0"/>
    </xf>
    <xf borderId="0" fillId="7" fontId="12" numFmtId="166" xfId="0" applyAlignment="1" applyFont="1" applyNumberFormat="1">
      <alignment horizontal="right" readingOrder="0"/>
    </xf>
    <xf borderId="0" fillId="7" fontId="13" numFmtId="0" xfId="0" applyAlignment="1" applyFont="1">
      <alignment horizontal="left" readingOrder="0"/>
    </xf>
    <xf borderId="0" fillId="6" fontId="2" numFmtId="0" xfId="0" applyAlignment="1" applyFont="1">
      <alignment horizontal="center" readingOrder="0"/>
    </xf>
    <xf borderId="1" fillId="6" fontId="2" numFmtId="0" xfId="0" applyAlignment="1" applyBorder="1" applyFont="1">
      <alignment readingOrder="0"/>
    </xf>
    <xf borderId="2" fillId="0" fontId="14" numFmtId="0" xfId="0" applyBorder="1" applyFont="1"/>
    <xf borderId="3" fillId="6" fontId="2" numFmtId="0" xfId="0" applyAlignment="1" applyBorder="1" applyFont="1">
      <alignment readingOrder="0"/>
    </xf>
    <xf borderId="3" fillId="6" fontId="15" numFmtId="0" xfId="0" applyAlignment="1" applyBorder="1" applyFont="1">
      <alignment vertical="bottom"/>
    </xf>
    <xf borderId="3" fillId="6" fontId="15" numFmtId="0" xfId="0" applyAlignment="1" applyBorder="1" applyFont="1">
      <alignment horizontal="right" vertical="bottom"/>
    </xf>
    <xf borderId="3" fillId="6" fontId="1" numFmtId="0" xfId="0" applyAlignment="1" applyBorder="1" applyFont="1">
      <alignment readingOrder="0"/>
    </xf>
    <xf borderId="3" fillId="6" fontId="1" numFmtId="10" xfId="0" applyAlignment="1" applyBorder="1" applyFont="1" applyNumberFormat="1">
      <alignment readingOrder="0"/>
    </xf>
    <xf borderId="3" fillId="6" fontId="1" numFmtId="166" xfId="0" applyAlignment="1" applyBorder="1" applyFont="1" applyNumberFormat="1">
      <alignment readingOrder="0"/>
    </xf>
  </cellXfs>
  <cellStyles count="1">
    <cellStyle xfId="0" name="Normal" builtinId="0"/>
  </cellStyles>
  <dxfs count="1">
    <dxf>
      <font>
        <b/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5.13"/>
    <col customWidth="1" min="3" max="3" width="25.13"/>
    <col customWidth="1" min="4" max="4" width="13.63"/>
    <col customWidth="1" min="5" max="5" width="6.5"/>
    <col customWidth="1" min="6" max="6" width="27.63"/>
    <col customWidth="1" min="7" max="7" width="18.88"/>
    <col customWidth="1" min="8" max="8" width="17.25"/>
  </cols>
  <sheetData>
    <row r="1" ht="8.25" customHeight="1">
      <c r="H1" s="1"/>
    </row>
    <row r="2">
      <c r="B2" s="2" t="s">
        <v>0</v>
      </c>
    </row>
    <row r="3">
      <c r="B3" s="3" t="s">
        <v>1</v>
      </c>
    </row>
    <row r="4">
      <c r="B4" s="3" t="s">
        <v>2</v>
      </c>
    </row>
    <row r="5">
      <c r="B5" s="4" t="s">
        <v>3</v>
      </c>
    </row>
    <row r="6">
      <c r="B6" s="5" t="s">
        <v>4</v>
      </c>
      <c r="F6" s="5" t="s">
        <v>5</v>
      </c>
    </row>
    <row r="7">
      <c r="B7" s="6" t="s">
        <v>6</v>
      </c>
    </row>
    <row r="8">
      <c r="B8" s="7" t="s">
        <v>7</v>
      </c>
    </row>
    <row r="9">
      <c r="B9" s="6" t="s">
        <v>8</v>
      </c>
    </row>
    <row r="10">
      <c r="B10" s="7" t="s">
        <v>9</v>
      </c>
      <c r="D10" s="7" t="s">
        <v>10</v>
      </c>
      <c r="G10" s="7" t="s">
        <v>11</v>
      </c>
    </row>
    <row r="11">
      <c r="B11" s="6" t="s">
        <v>12</v>
      </c>
      <c r="D11" s="6" t="s">
        <v>13</v>
      </c>
      <c r="F11" s="6" t="s">
        <v>14</v>
      </c>
    </row>
    <row r="12">
      <c r="A12" s="8"/>
      <c r="B12" s="9" t="str">
        <f>CONCATENATE(MID(D10,8,200)," /",MID(G10,8,200),", ",TEXT($G$15,"DD")," de ",TEXT($G$15,"MMMM")," de ",TEXT($G$15,"YYYY"),".")</f>
        <v> / , 30 de dezembro de 1899.</v>
      </c>
      <c r="F12" s="10" t="s">
        <v>15</v>
      </c>
    </row>
    <row r="13">
      <c r="H13" s="1"/>
    </row>
    <row r="14">
      <c r="B14" s="3" t="s">
        <v>16</v>
      </c>
    </row>
    <row r="15">
      <c r="B15" s="11" t="s">
        <v>17</v>
      </c>
      <c r="C15" s="12" t="s">
        <v>18</v>
      </c>
      <c r="G15" s="13"/>
    </row>
    <row r="16">
      <c r="B16" s="14" t="s">
        <v>19</v>
      </c>
      <c r="C16" s="15" t="s">
        <v>20</v>
      </c>
      <c r="G16" s="16" t="s">
        <v>21</v>
      </c>
    </row>
    <row r="17">
      <c r="B17" s="11" t="s">
        <v>22</v>
      </c>
      <c r="C17" s="12" t="s">
        <v>23</v>
      </c>
      <c r="G17" s="17" t="s">
        <v>24</v>
      </c>
    </row>
    <row r="18">
      <c r="B18" s="14" t="s">
        <v>25</v>
      </c>
      <c r="C18" s="15" t="s">
        <v>26</v>
      </c>
      <c r="G18" s="16">
        <v>12.0</v>
      </c>
    </row>
    <row r="19">
      <c r="H19" s="1"/>
    </row>
    <row r="20">
      <c r="B20" s="3" t="s">
        <v>27</v>
      </c>
    </row>
    <row r="21" ht="31.5" customHeight="1">
      <c r="B21" s="18" t="s">
        <v>28</v>
      </c>
      <c r="D21" s="19" t="s">
        <v>29</v>
      </c>
      <c r="F21" s="18" t="s">
        <v>30</v>
      </c>
      <c r="G21" s="18" t="s">
        <v>31</v>
      </c>
    </row>
    <row r="22" ht="47.25" customHeight="1">
      <c r="A22" s="20"/>
      <c r="B22" s="21" t="s">
        <v>32</v>
      </c>
      <c r="D22" s="21">
        <v>1.0</v>
      </c>
      <c r="F22" s="21" t="s">
        <v>33</v>
      </c>
      <c r="G22" s="21">
        <v>1.0</v>
      </c>
    </row>
    <row r="23">
      <c r="H23" s="1"/>
    </row>
    <row r="24">
      <c r="B24" s="3" t="s">
        <v>34</v>
      </c>
    </row>
    <row r="25">
      <c r="B25" s="18" t="s">
        <v>35</v>
      </c>
    </row>
    <row r="26">
      <c r="B26" s="3" t="s">
        <v>36</v>
      </c>
    </row>
    <row r="27">
      <c r="B27" s="22" t="s">
        <v>17</v>
      </c>
      <c r="C27" s="23" t="s">
        <v>37</v>
      </c>
      <c r="G27" s="24" t="s">
        <v>38</v>
      </c>
    </row>
    <row r="28">
      <c r="B28" s="25" t="s">
        <v>19</v>
      </c>
      <c r="C28" s="26" t="s">
        <v>39</v>
      </c>
      <c r="G28" s="27" t="s">
        <v>40</v>
      </c>
    </row>
    <row r="29">
      <c r="B29" s="22" t="s">
        <v>22</v>
      </c>
      <c r="C29" s="23" t="s">
        <v>41</v>
      </c>
      <c r="G29" s="28"/>
    </row>
    <row r="30">
      <c r="B30" s="25" t="s">
        <v>25</v>
      </c>
      <c r="C30" s="26" t="s">
        <v>42</v>
      </c>
      <c r="G30" s="21" t="s">
        <v>43</v>
      </c>
    </row>
    <row r="31">
      <c r="B31" s="22" t="s">
        <v>44</v>
      </c>
      <c r="C31" s="23" t="s">
        <v>45</v>
      </c>
      <c r="G31" s="29">
        <v>44958.0</v>
      </c>
    </row>
    <row r="32">
      <c r="A32" s="30"/>
      <c r="B32" s="25" t="s">
        <v>46</v>
      </c>
      <c r="C32" s="26" t="s">
        <v>47</v>
      </c>
      <c r="G32" s="31">
        <v>22.0</v>
      </c>
    </row>
    <row r="33">
      <c r="B33" s="22" t="s">
        <v>48</v>
      </c>
      <c r="C33" s="23" t="s">
        <v>49</v>
      </c>
      <c r="G33" s="24" t="s">
        <v>50</v>
      </c>
    </row>
    <row r="34">
      <c r="H34" s="1"/>
    </row>
    <row r="35">
      <c r="B35" s="32" t="s">
        <v>51</v>
      </c>
    </row>
    <row r="36">
      <c r="B36" s="33">
        <v>1.0</v>
      </c>
      <c r="C36" s="34" t="s">
        <v>52</v>
      </c>
      <c r="G36" s="35" t="s">
        <v>53</v>
      </c>
      <c r="H36" s="36" t="s">
        <v>54</v>
      </c>
    </row>
    <row r="37">
      <c r="B37" s="37" t="s">
        <v>17</v>
      </c>
      <c r="C37" s="38" t="s">
        <v>55</v>
      </c>
      <c r="G37" s="39">
        <v>1.0</v>
      </c>
      <c r="H37" s="40">
        <f>G29/220*150</f>
        <v>0</v>
      </c>
    </row>
    <row r="38">
      <c r="B38" s="41" t="s">
        <v>19</v>
      </c>
      <c r="C38" s="15" t="s">
        <v>56</v>
      </c>
      <c r="D38" s="42" t="s">
        <v>57</v>
      </c>
      <c r="E38" s="15"/>
      <c r="G38" s="43">
        <f>IF(D38="SIM",30%,0%)</f>
        <v>0.3</v>
      </c>
      <c r="H38" s="44">
        <f>ROUND(SALARIO_BASE*$G$38,2)</f>
        <v>0</v>
      </c>
    </row>
    <row r="39">
      <c r="B39" s="37" t="s">
        <v>22</v>
      </c>
      <c r="C39" s="38" t="s">
        <v>58</v>
      </c>
      <c r="D39" s="45" t="s">
        <v>59</v>
      </c>
      <c r="E39" s="45" t="s">
        <v>60</v>
      </c>
      <c r="G39" s="39">
        <f>ifs(D38="SIM",0%,D39="MÁXIMO",40%,D39="MÉDIO",20%,D39="MÍNIMO",10%,D39="NÃO",0%)</f>
        <v>0</v>
      </c>
      <c r="H39" s="40">
        <f>IF($E$39="SALÁRIO MÍNIMO",ROUND($G$39*SAL_MINIMO,2),IF($E$39="SALÁRIO-BASE",ROUND($G$39*SALARIO_BASE,2),0))</f>
        <v>0</v>
      </c>
    </row>
    <row r="40">
      <c r="B40" s="41" t="s">
        <v>25</v>
      </c>
      <c r="C40" s="15" t="s">
        <v>61</v>
      </c>
      <c r="D40" s="42" t="s">
        <v>59</v>
      </c>
      <c r="E40" s="15"/>
      <c r="G40" s="43">
        <f>IF(D40="SIM",20%,0%)</f>
        <v>0</v>
      </c>
      <c r="H40" s="44">
        <f>ROUND(IF($D$40="SIM",(8*(DIAS_TRABALHADOS))*(((SALARIO_BASE+PERICULOSIDADE)/220)*$G$40),0),2)</f>
        <v>0</v>
      </c>
    </row>
    <row r="41">
      <c r="B41" s="37" t="s">
        <v>44</v>
      </c>
      <c r="C41" s="38" t="s">
        <v>62</v>
      </c>
      <c r="G41" s="39">
        <v>1.2</v>
      </c>
      <c r="H41" s="46">
        <f>ROUND(IF($D$40="SIM",(1*(DIAS_TRABALHADOS))*(((SALARIO_BASE+PERICULOSIDADE)/220)*$G$41),0),2)</f>
        <v>0</v>
      </c>
    </row>
    <row r="42">
      <c r="B42" s="41" t="s">
        <v>46</v>
      </c>
      <c r="C42" s="15" t="s">
        <v>63</v>
      </c>
      <c r="G42" s="43">
        <v>0.0</v>
      </c>
      <c r="H42" s="47">
        <f>SALARIO_BASE*G42</f>
        <v>0</v>
      </c>
    </row>
    <row r="43">
      <c r="B43" s="48" t="s">
        <v>64</v>
      </c>
      <c r="H43" s="49">
        <f>SUM($H$37:$H$42)</f>
        <v>0</v>
      </c>
    </row>
    <row r="44">
      <c r="H44" s="1"/>
    </row>
    <row r="45">
      <c r="B45" s="32" t="s">
        <v>65</v>
      </c>
    </row>
    <row r="46">
      <c r="B46" s="3" t="s">
        <v>66</v>
      </c>
    </row>
    <row r="47">
      <c r="B47" s="50">
        <v>44198.0</v>
      </c>
      <c r="C47" s="34" t="s">
        <v>52</v>
      </c>
      <c r="G47" s="35" t="s">
        <v>53</v>
      </c>
      <c r="H47" s="36" t="s">
        <v>54</v>
      </c>
    </row>
    <row r="48">
      <c r="B48" s="37" t="s">
        <v>17</v>
      </c>
      <c r="C48" s="38" t="s">
        <v>67</v>
      </c>
      <c r="G48" s="39">
        <f>1/12</f>
        <v>0.08333333333</v>
      </c>
      <c r="H48" s="46">
        <f>ROUND(MODULO_1*$G$48,2)</f>
        <v>0</v>
      </c>
    </row>
    <row r="49">
      <c r="B49" s="41" t="s">
        <v>19</v>
      </c>
      <c r="C49" s="15" t="s">
        <v>68</v>
      </c>
      <c r="G49" s="51">
        <f>((1+1/3)/12)</f>
        <v>0.1111111111</v>
      </c>
      <c r="H49" s="44">
        <f>ROUND(MODULO_1*$G$49,2)</f>
        <v>0</v>
      </c>
    </row>
    <row r="50">
      <c r="B50" s="33" t="s">
        <v>69</v>
      </c>
      <c r="G50" s="52">
        <f>SUM($G$48:$G$49)</f>
        <v>0.1944444444</v>
      </c>
      <c r="H50" s="53">
        <f>SUM($H$48:$H$49)</f>
        <v>0</v>
      </c>
    </row>
    <row r="51">
      <c r="H51" s="1"/>
    </row>
    <row r="52">
      <c r="B52" s="3" t="s">
        <v>70</v>
      </c>
    </row>
    <row r="53">
      <c r="B53" s="50">
        <v>44229.0</v>
      </c>
      <c r="C53" s="34" t="s">
        <v>52</v>
      </c>
      <c r="G53" s="35" t="s">
        <v>53</v>
      </c>
      <c r="H53" s="36" t="s">
        <v>54</v>
      </c>
    </row>
    <row r="54">
      <c r="A54" s="30"/>
      <c r="B54" s="54" t="s">
        <v>17</v>
      </c>
      <c r="C54" s="55" t="s">
        <v>71</v>
      </c>
      <c r="D54" s="56" t="s">
        <v>72</v>
      </c>
      <c r="E54" s="57" t="s">
        <v>59</v>
      </c>
      <c r="F54" s="55"/>
      <c r="G54" s="58">
        <f>IF(E54="SIM",0,20%)</f>
        <v>0.2</v>
      </c>
      <c r="H54" s="59">
        <f>ROUND((MODULO_1+MODULO_2.1)*$G$54,2)</f>
        <v>0</v>
      </c>
    </row>
    <row r="55">
      <c r="B55" s="41" t="s">
        <v>19</v>
      </c>
      <c r="C55" s="15" t="s">
        <v>73</v>
      </c>
      <c r="G55" s="43">
        <f>IF($F$138="SIMPLES NACIONAL",0,2.5%)</f>
        <v>0.025</v>
      </c>
      <c r="H55" s="44">
        <f>ROUND((MODULO_1+MODULO_2.1)*$G$55,2)</f>
        <v>0</v>
      </c>
    </row>
    <row r="56">
      <c r="B56" s="54" t="s">
        <v>22</v>
      </c>
      <c r="C56" s="55" t="s">
        <v>74</v>
      </c>
      <c r="D56" s="60" t="s">
        <v>75</v>
      </c>
      <c r="G56" s="61">
        <f>(IFS($D$57="RAT = 1%",1%,$D$57="RAT = 2%",2%,$D$57="RAT = 3%",3%)*$F$57)</f>
        <v>0.03</v>
      </c>
      <c r="H56" s="62">
        <f>ROUND((MODULO_1+MODULO_2.1)*$G$56,2)</f>
        <v>0</v>
      </c>
    </row>
    <row r="57">
      <c r="D57" s="63" t="s">
        <v>76</v>
      </c>
      <c r="E57" s="64" t="s">
        <v>77</v>
      </c>
      <c r="F57" s="65">
        <v>1.0</v>
      </c>
    </row>
    <row r="58">
      <c r="B58" s="41" t="s">
        <v>25</v>
      </c>
      <c r="C58" s="15" t="s">
        <v>78</v>
      </c>
      <c r="G58" s="51">
        <f>IF($F$138="SIMPLES NACIONAL",0,1.5%)</f>
        <v>0.015</v>
      </c>
      <c r="H58" s="44">
        <f>ROUND((MODULO_1+MODULO_2.1)*$G$58,2)</f>
        <v>0</v>
      </c>
    </row>
    <row r="59">
      <c r="B59" s="37" t="s">
        <v>44</v>
      </c>
      <c r="C59" s="38" t="s">
        <v>79</v>
      </c>
      <c r="G59" s="66">
        <f>IF($F$138="SIMPLES NACIONAL",0,1%)</f>
        <v>0.01</v>
      </c>
      <c r="H59" s="46">
        <f>ROUND((MODULO_1+MODULO_2.1)*$G$59,2)</f>
        <v>0</v>
      </c>
    </row>
    <row r="60">
      <c r="B60" s="41" t="s">
        <v>46</v>
      </c>
      <c r="C60" s="15" t="s">
        <v>80</v>
      </c>
      <c r="G60" s="51">
        <f>IF($F$138="SIMPLES NACIONAL",0,0.6%)</f>
        <v>0.006</v>
      </c>
      <c r="H60" s="44">
        <f>ROUND((MODULO_1+MODULO_2.1)*$G$60,2)</f>
        <v>0</v>
      </c>
    </row>
    <row r="61">
      <c r="B61" s="37" t="s">
        <v>48</v>
      </c>
      <c r="C61" s="38" t="s">
        <v>81</v>
      </c>
      <c r="G61" s="66">
        <f>IF($F$138="SIMPLES NACIONAL",0,0.2%)</f>
        <v>0.002</v>
      </c>
      <c r="H61" s="46">
        <f>ROUND((MODULO_1+MODULO_2.1)*$G$61,2)</f>
        <v>0</v>
      </c>
    </row>
    <row r="62">
      <c r="B62" s="41" t="s">
        <v>82</v>
      </c>
      <c r="C62" s="15" t="s">
        <v>83</v>
      </c>
      <c r="G62" s="43">
        <v>0.08</v>
      </c>
      <c r="H62" s="44">
        <f>ROUND((MODULO_1+MODULO_2.1)*$G$62,2)</f>
        <v>0</v>
      </c>
    </row>
    <row r="63">
      <c r="B63" s="33" t="s">
        <v>69</v>
      </c>
      <c r="G63" s="52">
        <f>SUM($G$54:$G$62)</f>
        <v>0.368</v>
      </c>
      <c r="H63" s="53">
        <f>SUM(H54:H62)</f>
        <v>0</v>
      </c>
    </row>
    <row r="64">
      <c r="H64" s="1"/>
    </row>
    <row r="65">
      <c r="B65" s="3" t="s">
        <v>84</v>
      </c>
    </row>
    <row r="66">
      <c r="B66" s="50">
        <v>44257.0</v>
      </c>
      <c r="C66" s="34" t="s">
        <v>52</v>
      </c>
      <c r="G66" s="35" t="s">
        <v>85</v>
      </c>
      <c r="H66" s="36" t="s">
        <v>86</v>
      </c>
    </row>
    <row r="67">
      <c r="B67" s="54" t="s">
        <v>17</v>
      </c>
      <c r="C67" s="38" t="s">
        <v>87</v>
      </c>
      <c r="D67" s="67" t="s">
        <v>88</v>
      </c>
      <c r="G67" s="68"/>
      <c r="H67" s="46">
        <f>ROUND(DIAS_TRABALHADOS*$G$67*2,2)</f>
        <v>0</v>
      </c>
    </row>
    <row r="68">
      <c r="C68" s="38" t="s">
        <v>89</v>
      </c>
      <c r="G68" s="39">
        <v>0.06</v>
      </c>
      <c r="H68" s="46">
        <f>ROUND(-(SALARIO_BASE*$G$68),2)</f>
        <v>0</v>
      </c>
    </row>
    <row r="69">
      <c r="B69" s="41" t="s">
        <v>19</v>
      </c>
      <c r="C69" s="69" t="s">
        <v>90</v>
      </c>
      <c r="D69" s="70" t="s">
        <v>88</v>
      </c>
      <c r="G69" s="71"/>
      <c r="H69" s="44">
        <f>ROUND(DIAS_TRABALHADOS*$G$69,2)</f>
        <v>0</v>
      </c>
    </row>
    <row r="70">
      <c r="B70" s="41"/>
      <c r="C70" s="15" t="s">
        <v>91</v>
      </c>
      <c r="G70" s="72"/>
      <c r="H70" s="47">
        <f>-H69*G70</f>
        <v>0</v>
      </c>
    </row>
    <row r="71">
      <c r="B71" s="37" t="s">
        <v>22</v>
      </c>
      <c r="C71" s="38" t="s">
        <v>92</v>
      </c>
      <c r="G71" s="73" t="s">
        <v>93</v>
      </c>
      <c r="H71" s="40">
        <v>0.0</v>
      </c>
    </row>
    <row r="72">
      <c r="B72" s="41" t="s">
        <v>25</v>
      </c>
      <c r="C72" s="15" t="s">
        <v>94</v>
      </c>
      <c r="G72" s="14" t="s">
        <v>93</v>
      </c>
      <c r="H72" s="47">
        <v>0.0</v>
      </c>
    </row>
    <row r="73">
      <c r="B73" s="37" t="s">
        <v>44</v>
      </c>
      <c r="C73" s="38" t="s">
        <v>95</v>
      </c>
      <c r="G73" s="73" t="s">
        <v>93</v>
      </c>
      <c r="H73" s="40">
        <f>H43*7%</f>
        <v>0</v>
      </c>
    </row>
    <row r="74">
      <c r="B74" s="41" t="s">
        <v>46</v>
      </c>
      <c r="C74" s="15" t="s">
        <v>63</v>
      </c>
      <c r="G74" s="14" t="s">
        <v>93</v>
      </c>
      <c r="H74" s="47">
        <v>0.0</v>
      </c>
    </row>
    <row r="75">
      <c r="B75" s="37" t="s">
        <v>48</v>
      </c>
      <c r="C75" s="38" t="s">
        <v>63</v>
      </c>
      <c r="G75" s="73" t="s">
        <v>93</v>
      </c>
      <c r="H75" s="40">
        <v>0.0</v>
      </c>
    </row>
    <row r="76">
      <c r="B76" s="33" t="s">
        <v>69</v>
      </c>
      <c r="H76" s="53">
        <f>SUM($H$67:$H$75)</f>
        <v>0</v>
      </c>
    </row>
    <row r="77">
      <c r="H77" s="1"/>
    </row>
    <row r="78">
      <c r="B78" s="3" t="s">
        <v>96</v>
      </c>
    </row>
    <row r="79">
      <c r="B79" s="50">
        <v>44653.0</v>
      </c>
      <c r="C79" s="34" t="s">
        <v>52</v>
      </c>
      <c r="G79" s="35"/>
      <c r="H79" s="36" t="s">
        <v>86</v>
      </c>
    </row>
    <row r="80">
      <c r="B80" s="37" t="s">
        <v>17</v>
      </c>
      <c r="C80" s="38" t="s">
        <v>97</v>
      </c>
      <c r="G80" s="74">
        <v>0.0</v>
      </c>
      <c r="H80" s="40">
        <f>(MODULO_1/220)*1.5*DIAS_TRABALHADOS*0.5*G80</f>
        <v>0</v>
      </c>
    </row>
    <row r="81">
      <c r="B81" s="33" t="s">
        <v>69</v>
      </c>
      <c r="H81" s="53">
        <f>H80</f>
        <v>0</v>
      </c>
    </row>
    <row r="82">
      <c r="H82" s="1"/>
    </row>
    <row r="83">
      <c r="B83" s="3" t="s">
        <v>98</v>
      </c>
    </row>
    <row r="84">
      <c r="B84" s="33">
        <v>2.0</v>
      </c>
      <c r="C84" s="34" t="s">
        <v>52</v>
      </c>
      <c r="H84" s="36" t="s">
        <v>54</v>
      </c>
    </row>
    <row r="85">
      <c r="B85" s="75">
        <v>44198.0</v>
      </c>
      <c r="C85" s="64" t="s">
        <v>99</v>
      </c>
      <c r="H85" s="76">
        <f>MODULO_2.1</f>
        <v>0</v>
      </c>
    </row>
    <row r="86">
      <c r="B86" s="77">
        <v>44229.0</v>
      </c>
      <c r="C86" s="78" t="s">
        <v>100</v>
      </c>
      <c r="H86" s="79">
        <f>MODULO_2.2</f>
        <v>0</v>
      </c>
    </row>
    <row r="87">
      <c r="B87" s="75">
        <v>44257.0</v>
      </c>
      <c r="C87" s="64" t="s">
        <v>101</v>
      </c>
      <c r="H87" s="76">
        <f>MODULO_2.3</f>
        <v>0</v>
      </c>
    </row>
    <row r="88">
      <c r="B88" s="77">
        <v>44653.0</v>
      </c>
      <c r="C88" s="78" t="s">
        <v>102</v>
      </c>
      <c r="H88" s="79">
        <f>MODULO_2.4</f>
        <v>0</v>
      </c>
    </row>
    <row r="89">
      <c r="B89" s="48" t="s">
        <v>103</v>
      </c>
      <c r="H89" s="49">
        <f>SUM($H$85:$H$88)</f>
        <v>0</v>
      </c>
    </row>
    <row r="90">
      <c r="H90" s="1"/>
    </row>
    <row r="91">
      <c r="B91" s="32" t="s">
        <v>104</v>
      </c>
    </row>
    <row r="92">
      <c r="B92" s="33">
        <v>3.0</v>
      </c>
      <c r="C92" s="34" t="s">
        <v>52</v>
      </c>
      <c r="G92" s="35" t="s">
        <v>53</v>
      </c>
      <c r="H92" s="36" t="s">
        <v>54</v>
      </c>
    </row>
    <row r="93">
      <c r="B93" s="37" t="s">
        <v>17</v>
      </c>
      <c r="C93" s="64" t="s">
        <v>105</v>
      </c>
      <c r="G93" s="39">
        <f>(1/12)*5%</f>
        <v>0.004166666667</v>
      </c>
      <c r="H93" s="46">
        <f>ROUND(MODULO_1*$G$93,2)</f>
        <v>0</v>
      </c>
    </row>
    <row r="94">
      <c r="B94" s="41" t="s">
        <v>19</v>
      </c>
      <c r="C94" s="15" t="s">
        <v>106</v>
      </c>
      <c r="G94" s="43">
        <f>$G$62*$G$93</f>
        <v>0.0003333333333</v>
      </c>
      <c r="H94" s="44">
        <f>ROUND(MODULO_1*$G$94,2)</f>
        <v>0</v>
      </c>
    </row>
    <row r="95">
      <c r="B95" s="37" t="s">
        <v>22</v>
      </c>
      <c r="C95" s="38" t="s">
        <v>107</v>
      </c>
      <c r="G95" s="39">
        <f>((1+2/12)+((1/3)*(1/12)))*0.08*0.4*0.9</f>
        <v>0.0344</v>
      </c>
      <c r="H95" s="46">
        <f>ROUND(MODULO_1*$G$95,2)</f>
        <v>0</v>
      </c>
    </row>
    <row r="96">
      <c r="B96" s="41" t="s">
        <v>25</v>
      </c>
      <c r="C96" s="78" t="s">
        <v>108</v>
      </c>
      <c r="G96" s="43">
        <f>7/30/12</f>
        <v>0.01944444444</v>
      </c>
      <c r="H96" s="44">
        <f>ROUND(MODULO_1*$G$96,2)</f>
        <v>0</v>
      </c>
    </row>
    <row r="97">
      <c r="B97" s="37" t="s">
        <v>44</v>
      </c>
      <c r="C97" s="38" t="s">
        <v>109</v>
      </c>
      <c r="G97" s="39">
        <f>$G$96*$G$63</f>
        <v>0.007155555556</v>
      </c>
      <c r="H97" s="46">
        <f>ROUND(MODULO_1*$G$97,2)</f>
        <v>0</v>
      </c>
    </row>
    <row r="98">
      <c r="B98" s="41" t="s">
        <v>46</v>
      </c>
      <c r="C98" s="15" t="s">
        <v>110</v>
      </c>
      <c r="G98" s="80">
        <f>G96*0.08*0.4</f>
        <v>0.0006222222222</v>
      </c>
      <c r="H98" s="44">
        <f>ROUND(MODULO_1*$G$98,2)</f>
        <v>0</v>
      </c>
    </row>
    <row r="99">
      <c r="B99" s="48" t="s">
        <v>103</v>
      </c>
      <c r="G99" s="81">
        <f>SUM(G93:G98)</f>
        <v>0.06612222222</v>
      </c>
      <c r="H99" s="49">
        <f>SUM($H$93:$H$98)</f>
        <v>0</v>
      </c>
    </row>
    <row r="100">
      <c r="H100" s="1"/>
    </row>
    <row r="101">
      <c r="B101" s="32" t="s">
        <v>111</v>
      </c>
    </row>
    <row r="102">
      <c r="B102" s="3" t="s">
        <v>112</v>
      </c>
    </row>
    <row r="103">
      <c r="B103" s="50">
        <v>44200.0</v>
      </c>
      <c r="C103" s="34" t="s">
        <v>52</v>
      </c>
      <c r="G103" s="35" t="s">
        <v>53</v>
      </c>
      <c r="H103" s="36" t="s">
        <v>54</v>
      </c>
    </row>
    <row r="104">
      <c r="B104" s="37" t="s">
        <v>17</v>
      </c>
      <c r="C104" s="64" t="s">
        <v>113</v>
      </c>
      <c r="G104" s="82">
        <f>(((1+1/3)/12)/12)</f>
        <v>0.009259259259</v>
      </c>
      <c r="H104" s="46">
        <f>(MODULO_1+MODULO_2+MODULO_3)*G104</f>
        <v>0</v>
      </c>
    </row>
    <row r="105">
      <c r="B105" s="41" t="s">
        <v>19</v>
      </c>
      <c r="C105" s="15" t="s">
        <v>114</v>
      </c>
      <c r="G105" s="43">
        <f>1/30/12</f>
        <v>0.002777777778</v>
      </c>
      <c r="H105" s="44">
        <f>(MODULO_1+MODULO_2+MODULO_3)*G105</f>
        <v>0</v>
      </c>
    </row>
    <row r="106">
      <c r="B106" s="37" t="s">
        <v>22</v>
      </c>
      <c r="C106" s="38" t="s">
        <v>115</v>
      </c>
      <c r="G106" s="39">
        <f>5/30/12*3%</f>
        <v>0.0004166666667</v>
      </c>
      <c r="H106" s="40">
        <f>(MODULO_1+MODULO_2+MODULO_3)*G106</f>
        <v>0</v>
      </c>
    </row>
    <row r="107">
      <c r="B107" s="41" t="s">
        <v>25</v>
      </c>
      <c r="C107" s="78" t="s">
        <v>116</v>
      </c>
      <c r="G107" s="43">
        <f>((15/30)/12)*6.5%</f>
        <v>0.002708333333</v>
      </c>
      <c r="H107" s="44">
        <f>(MODULO_1+MODULO_2+MODULO_3)*G107</f>
        <v>0</v>
      </c>
    </row>
    <row r="108">
      <c r="B108" s="37" t="s">
        <v>44</v>
      </c>
      <c r="C108" s="38" t="s">
        <v>117</v>
      </c>
      <c r="G108" s="39">
        <f>((1/3)/12)*10%*(4/12)</f>
        <v>0.0009259259259</v>
      </c>
      <c r="H108" s="46">
        <f>(MODULO_1+MODULO_2+MODULO_3)*G108</f>
        <v>0</v>
      </c>
    </row>
    <row r="109">
      <c r="B109" s="41" t="s">
        <v>46</v>
      </c>
      <c r="C109" s="15" t="s">
        <v>118</v>
      </c>
      <c r="G109" s="43">
        <v>0.0166</v>
      </c>
      <c r="H109" s="44">
        <f>(MODULO_1+MODULO_2+MODULO_3)*G109</f>
        <v>0</v>
      </c>
    </row>
    <row r="110">
      <c r="B110" s="33" t="s">
        <v>69</v>
      </c>
      <c r="G110" s="52">
        <f>SUM($G$104:$G$109)</f>
        <v>0.03268796296</v>
      </c>
      <c r="H110" s="53">
        <f>SUM($H$104:$H$109)</f>
        <v>0</v>
      </c>
    </row>
    <row r="111">
      <c r="H111" s="1"/>
    </row>
    <row r="112">
      <c r="B112" s="3" t="s">
        <v>119</v>
      </c>
    </row>
    <row r="113">
      <c r="B113" s="50">
        <v>44231.0</v>
      </c>
      <c r="C113" s="34" t="s">
        <v>52</v>
      </c>
      <c r="G113" s="35"/>
      <c r="H113" s="36" t="s">
        <v>54</v>
      </c>
    </row>
    <row r="114">
      <c r="B114" s="37" t="s">
        <v>17</v>
      </c>
      <c r="C114" s="38" t="s">
        <v>120</v>
      </c>
      <c r="G114" s="83">
        <v>0.0</v>
      </c>
      <c r="H114" s="46">
        <f>((MODULO_1+MODULO_2+MODULO_3)/220)*1*DIAS_TRABALHADOS*G114</f>
        <v>0</v>
      </c>
    </row>
    <row r="115">
      <c r="B115" s="33" t="s">
        <v>69</v>
      </c>
      <c r="G115" s="84"/>
      <c r="H115" s="53">
        <f>SUM($H$114)</f>
        <v>0</v>
      </c>
    </row>
    <row r="116">
      <c r="H116" s="1"/>
    </row>
    <row r="117">
      <c r="B117" s="3" t="s">
        <v>121</v>
      </c>
    </row>
    <row r="118">
      <c r="B118" s="33">
        <v>4.0</v>
      </c>
      <c r="C118" s="34" t="s">
        <v>52</v>
      </c>
      <c r="G118" s="35" t="s">
        <v>53</v>
      </c>
      <c r="H118" s="36" t="s">
        <v>54</v>
      </c>
    </row>
    <row r="119">
      <c r="B119" s="75">
        <v>44200.0</v>
      </c>
      <c r="C119" s="64" t="s">
        <v>122</v>
      </c>
      <c r="G119" s="85">
        <f>$G$110</f>
        <v>0.03268796296</v>
      </c>
      <c r="H119" s="76">
        <f>MODULO_4.1</f>
        <v>0</v>
      </c>
    </row>
    <row r="120">
      <c r="B120" s="77">
        <v>44231.0</v>
      </c>
      <c r="C120" s="78" t="s">
        <v>123</v>
      </c>
      <c r="G120" s="86" t="str">
        <f>$G$115</f>
        <v/>
      </c>
      <c r="H120" s="79">
        <f>MODULO_4.2</f>
        <v>0</v>
      </c>
    </row>
    <row r="121">
      <c r="B121" s="48" t="s">
        <v>124</v>
      </c>
      <c r="H121" s="49">
        <f>SUM($H$119:$H$120)</f>
        <v>0</v>
      </c>
    </row>
    <row r="122">
      <c r="H122" s="1"/>
    </row>
    <row r="123">
      <c r="B123" s="32" t="s">
        <v>125</v>
      </c>
    </row>
    <row r="124">
      <c r="B124" s="33">
        <v>5.0</v>
      </c>
      <c r="C124" s="34" t="s">
        <v>52</v>
      </c>
      <c r="H124" s="36" t="s">
        <v>86</v>
      </c>
    </row>
    <row r="125">
      <c r="B125" s="37" t="s">
        <v>17</v>
      </c>
      <c r="C125" s="38" t="s">
        <v>126</v>
      </c>
      <c r="H125" s="87">
        <v>0.0</v>
      </c>
    </row>
    <row r="126">
      <c r="B126" s="41" t="s">
        <v>19</v>
      </c>
      <c r="C126" s="15" t="s">
        <v>127</v>
      </c>
      <c r="H126" s="88">
        <v>0.0</v>
      </c>
    </row>
    <row r="127">
      <c r="B127" s="37" t="s">
        <v>22</v>
      </c>
      <c r="C127" s="38" t="s">
        <v>63</v>
      </c>
      <c r="H127" s="87">
        <v>0.0</v>
      </c>
    </row>
    <row r="128">
      <c r="B128" s="41" t="s">
        <v>25</v>
      </c>
      <c r="C128" s="15" t="s">
        <v>63</v>
      </c>
      <c r="H128" s="88">
        <v>0.0</v>
      </c>
    </row>
    <row r="129">
      <c r="B129" s="37" t="s">
        <v>44</v>
      </c>
      <c r="C129" s="38" t="s">
        <v>63</v>
      </c>
      <c r="H129" s="87">
        <v>0.0</v>
      </c>
    </row>
    <row r="130">
      <c r="B130" s="48" t="s">
        <v>103</v>
      </c>
      <c r="H130" s="49">
        <f>SUM($H$125:$H$129)</f>
        <v>0</v>
      </c>
    </row>
    <row r="131">
      <c r="H131" s="1"/>
    </row>
    <row r="132">
      <c r="A132" s="89"/>
      <c r="B132" s="3"/>
      <c r="C132" s="90" t="s">
        <v>128</v>
      </c>
      <c r="G132" s="91">
        <f>SUM(G50,G63,G99,G110)</f>
        <v>0.6612546296</v>
      </c>
      <c r="H132" s="3"/>
    </row>
    <row r="133">
      <c r="H133" s="1"/>
    </row>
    <row r="134">
      <c r="B134" s="92" t="s">
        <v>129</v>
      </c>
    </row>
    <row r="135">
      <c r="B135" s="93">
        <v>6.0</v>
      </c>
      <c r="C135" s="94" t="s">
        <v>52</v>
      </c>
      <c r="G135" s="95" t="s">
        <v>53</v>
      </c>
      <c r="H135" s="96" t="s">
        <v>54</v>
      </c>
    </row>
    <row r="136">
      <c r="B136" s="97" t="s">
        <v>17</v>
      </c>
      <c r="C136" s="98" t="s">
        <v>130</v>
      </c>
      <c r="G136" s="99">
        <v>0.0</v>
      </c>
      <c r="H136" s="59">
        <f>(MODULO_1+MODULO_2+MODULO_3+MODULO_4+MODULO_5)*G136</f>
        <v>0</v>
      </c>
    </row>
    <row r="137">
      <c r="B137" s="100" t="s">
        <v>19</v>
      </c>
      <c r="C137" s="101" t="s">
        <v>131</v>
      </c>
      <c r="G137" s="102">
        <v>0.0</v>
      </c>
      <c r="H137" s="103">
        <f>(MODULO_1+MODULO_2+MODULO_3+MODULO_4+MODULO_5+CUSTO_INDIRETO)*G137</f>
        <v>0</v>
      </c>
    </row>
    <row r="138">
      <c r="A138" s="8"/>
      <c r="B138" s="97" t="s">
        <v>132</v>
      </c>
      <c r="C138" s="98" t="s">
        <v>133</v>
      </c>
      <c r="D138" s="98" t="s">
        <v>134</v>
      </c>
      <c r="F138" s="57" t="s">
        <v>135</v>
      </c>
      <c r="G138" s="104">
        <f>SUM($G$139:$G$141)</f>
        <v>0.0365</v>
      </c>
      <c r="H138" s="105">
        <f>SUM($H$139:$H$141)</f>
        <v>0</v>
      </c>
    </row>
    <row r="139" ht="31.5" customHeight="1">
      <c r="A139" s="30"/>
      <c r="B139" s="106" t="s">
        <v>136</v>
      </c>
      <c r="C139" s="26" t="s">
        <v>137</v>
      </c>
      <c r="D139" s="107" t="str">
        <f t="shared" ref="D139:D140" si="1">IFS($F$138="LUCRO REAL","A licitante deve informar a alíquota ajustada conforme apuração do percentual médio de recolhimento, em consonância com a legislação fiscal vigente",$F$138="SIMPLES NACIONAL","A licitante deve informar a alíquota efetiva, conforme cálculo previsto na Lei Complementar 123/2006",$F$138="LUCRO PRESUMIDO","")</f>
        <v/>
      </c>
      <c r="G139" s="108">
        <f>IFS($F$138="LUCRO REAL",1.65%,$F$138="SIMPLES NACIONAL",0.7%,$F$138="LUCRO PRESUMIDO",0.65%)</f>
        <v>0.0065</v>
      </c>
      <c r="H139" s="103">
        <f>(MODULO_1+MODULO_2+MODULO_3+MODULO_4+MODULO_5+CUSTO_INDIRETO+LUCRO)/(1-($G$139+G140+$G$143))*$G$139</f>
        <v>0</v>
      </c>
    </row>
    <row r="140" ht="31.5" customHeight="1">
      <c r="A140" s="30"/>
      <c r="B140" s="54" t="s">
        <v>138</v>
      </c>
      <c r="C140" s="55" t="s">
        <v>139</v>
      </c>
      <c r="D140" s="109" t="str">
        <f t="shared" si="1"/>
        <v/>
      </c>
      <c r="G140" s="61">
        <f>IFS($F$138="LUCRO REAL",7.6%,$F$138="SIMPLES NACIONAL",3.24%,$F$138="LUCRO PRESUMIDO",3%)</f>
        <v>0.03</v>
      </c>
      <c r="H140" s="59">
        <f>(MODULO_1+MODULO_2+MODULO_3+MODULO_4+MODULO_5+CUSTO_INDIRETO+LUCRO)/(1-($G$139+G140+$G$143))*$G$140</f>
        <v>0</v>
      </c>
    </row>
    <row r="141">
      <c r="B141" s="106" t="s">
        <v>140</v>
      </c>
      <c r="C141" s="110" t="str">
        <f>IF(E54="SIM","Licitante deve informar alíquota CPRB (Contribuição Previdenciária sobre a Receita Bruta) conforme Lei 12.546/2011","Outros (especificar)")</f>
        <v>Outros (especificar)</v>
      </c>
      <c r="G141" s="111">
        <f>IF(E54="SIM",4.5%,0%)</f>
        <v>0</v>
      </c>
      <c r="H141" s="112">
        <f>IF(E54="NÃO",(MODULO_1+MODULO_2+MODULO_3+MODULO_4+MODULO_5+CUSTO_INDIRETO+LUCRO)*G141,"INFORMAR")</f>
        <v>0</v>
      </c>
    </row>
    <row r="142">
      <c r="A142" s="8"/>
      <c r="B142" s="97" t="s">
        <v>141</v>
      </c>
      <c r="C142" s="98" t="s">
        <v>142</v>
      </c>
      <c r="G142" s="104">
        <f>SUM($G$143)</f>
        <v>0.03</v>
      </c>
      <c r="H142" s="105">
        <f>SUM($H$143)</f>
        <v>0</v>
      </c>
    </row>
    <row r="143">
      <c r="B143" s="106" t="s">
        <v>143</v>
      </c>
      <c r="C143" s="26" t="s">
        <v>144</v>
      </c>
      <c r="G143" s="111">
        <v>0.03</v>
      </c>
      <c r="H143" s="103">
        <f>(MODULO_1+MODULO_2+MODULO_3+MODULO_4+MODULO_5+CUSTO_INDIRETO+LUCRO)/(1-($G$139+G140+$G$143))*$G$143</f>
        <v>0</v>
      </c>
    </row>
    <row r="144">
      <c r="B144" s="113" t="s">
        <v>124</v>
      </c>
      <c r="G144" s="114">
        <f>(1+G136)*(1+G137)/(1-(G138+G142))-1</f>
        <v>0.07123727906</v>
      </c>
      <c r="H144" s="115">
        <f>SUM(CUSTO_INDIRETO,LUCRO,$H$138,$H$142)</f>
        <v>0</v>
      </c>
    </row>
    <row r="145">
      <c r="H145" s="1"/>
    </row>
    <row r="146">
      <c r="B146" s="116" t="s">
        <v>145</v>
      </c>
    </row>
    <row r="147">
      <c r="B147" s="34" t="s">
        <v>146</v>
      </c>
      <c r="H147" s="36" t="s">
        <v>54</v>
      </c>
    </row>
    <row r="148">
      <c r="B148" s="37" t="s">
        <v>17</v>
      </c>
      <c r="C148" s="38" t="s">
        <v>147</v>
      </c>
      <c r="H148" s="46">
        <f>MODULO_1</f>
        <v>0</v>
      </c>
    </row>
    <row r="149">
      <c r="B149" s="41" t="s">
        <v>19</v>
      </c>
      <c r="C149" s="15" t="s">
        <v>148</v>
      </c>
      <c r="H149" s="44">
        <f>MODULO_2</f>
        <v>0</v>
      </c>
    </row>
    <row r="150">
      <c r="B150" s="37" t="s">
        <v>22</v>
      </c>
      <c r="C150" s="38" t="s">
        <v>149</v>
      </c>
      <c r="H150" s="46">
        <f>MODULO_3</f>
        <v>0</v>
      </c>
    </row>
    <row r="151">
      <c r="B151" s="41" t="s">
        <v>25</v>
      </c>
      <c r="C151" s="15" t="s">
        <v>150</v>
      </c>
      <c r="H151" s="44">
        <f>MODULO_4</f>
        <v>0</v>
      </c>
    </row>
    <row r="152">
      <c r="B152" s="37" t="s">
        <v>44</v>
      </c>
      <c r="C152" s="38" t="s">
        <v>151</v>
      </c>
      <c r="H152" s="46">
        <f>MODULO_5</f>
        <v>0</v>
      </c>
    </row>
    <row r="153">
      <c r="B153" s="117" t="s">
        <v>152</v>
      </c>
      <c r="H153" s="118">
        <f>SUM($H$148:$H$152)</f>
        <v>0</v>
      </c>
    </row>
    <row r="154">
      <c r="B154" s="37" t="s">
        <v>46</v>
      </c>
      <c r="C154" s="38" t="s">
        <v>153</v>
      </c>
      <c r="H154" s="46">
        <f>MODULO_6</f>
        <v>0</v>
      </c>
    </row>
    <row r="155">
      <c r="B155" s="119" t="s">
        <v>154</v>
      </c>
      <c r="H155" s="120">
        <f>SUM($H$153:$H$154)</f>
        <v>0</v>
      </c>
    </row>
    <row r="156">
      <c r="B156" s="119" t="s">
        <v>155</v>
      </c>
      <c r="E156" s="121">
        <f>$D$22</f>
        <v>1</v>
      </c>
      <c r="F156" s="119" t="s">
        <v>156</v>
      </c>
      <c r="H156" s="120">
        <f>$H$155*$E$156</f>
        <v>0</v>
      </c>
    </row>
    <row r="157">
      <c r="B157" s="119" t="s">
        <v>157</v>
      </c>
      <c r="E157" s="121">
        <f>$G$22</f>
        <v>1</v>
      </c>
      <c r="F157" s="119" t="s">
        <v>158</v>
      </c>
      <c r="H157" s="120">
        <f>$H$156*$E$157</f>
        <v>0</v>
      </c>
    </row>
    <row r="158">
      <c r="B158" s="119" t="s">
        <v>159</v>
      </c>
      <c r="H158" s="120">
        <f>$H$157*$G$18</f>
        <v>0</v>
      </c>
    </row>
    <row r="159">
      <c r="H159" s="1"/>
    </row>
  </sheetData>
  <mergeCells count="166">
    <mergeCell ref="C27:F27"/>
    <mergeCell ref="C28:F28"/>
    <mergeCell ref="G28:H28"/>
    <mergeCell ref="C29:F29"/>
    <mergeCell ref="G29:H29"/>
    <mergeCell ref="C30:F30"/>
    <mergeCell ref="G30:H30"/>
    <mergeCell ref="C31:F31"/>
    <mergeCell ref="G31:H31"/>
    <mergeCell ref="C32:F32"/>
    <mergeCell ref="G32:H32"/>
    <mergeCell ref="C33:F33"/>
    <mergeCell ref="G33:H33"/>
    <mergeCell ref="B35:H35"/>
    <mergeCell ref="B2:H2"/>
    <mergeCell ref="B3:H3"/>
    <mergeCell ref="B4:H4"/>
    <mergeCell ref="B5:H5"/>
    <mergeCell ref="B6:E6"/>
    <mergeCell ref="F6:H6"/>
    <mergeCell ref="B7:H7"/>
    <mergeCell ref="B8:H8"/>
    <mergeCell ref="B9:H9"/>
    <mergeCell ref="B10:C10"/>
    <mergeCell ref="D10:F10"/>
    <mergeCell ref="G10:H10"/>
    <mergeCell ref="B11:C11"/>
    <mergeCell ref="F11:H11"/>
    <mergeCell ref="D11:E11"/>
    <mergeCell ref="B12:E12"/>
    <mergeCell ref="F12:H12"/>
    <mergeCell ref="B14:H14"/>
    <mergeCell ref="C15:F15"/>
    <mergeCell ref="G15:H15"/>
    <mergeCell ref="G16:H16"/>
    <mergeCell ref="D21:E21"/>
    <mergeCell ref="G21:H21"/>
    <mergeCell ref="C16:F16"/>
    <mergeCell ref="C17:F17"/>
    <mergeCell ref="G17:H17"/>
    <mergeCell ref="C18:F18"/>
    <mergeCell ref="G18:H18"/>
    <mergeCell ref="B20:H20"/>
    <mergeCell ref="B21:C21"/>
    <mergeCell ref="B22:C22"/>
    <mergeCell ref="D22:E22"/>
    <mergeCell ref="G22:H22"/>
    <mergeCell ref="B24:H24"/>
    <mergeCell ref="B25:H25"/>
    <mergeCell ref="B26:H26"/>
    <mergeCell ref="G27:H27"/>
    <mergeCell ref="C36:F36"/>
    <mergeCell ref="C37:F37"/>
    <mergeCell ref="E38:F38"/>
    <mergeCell ref="E39:F39"/>
    <mergeCell ref="E40:F40"/>
    <mergeCell ref="C41:F41"/>
    <mergeCell ref="C42:F42"/>
    <mergeCell ref="C87:G87"/>
    <mergeCell ref="C88:G88"/>
    <mergeCell ref="B89:G89"/>
    <mergeCell ref="B91:H91"/>
    <mergeCell ref="C92:F92"/>
    <mergeCell ref="C93:F93"/>
    <mergeCell ref="C94:F94"/>
    <mergeCell ref="C95:F95"/>
    <mergeCell ref="C96:F96"/>
    <mergeCell ref="C97:F97"/>
    <mergeCell ref="C98:F98"/>
    <mergeCell ref="B99:F99"/>
    <mergeCell ref="B101:H101"/>
    <mergeCell ref="B102:H102"/>
    <mergeCell ref="B110:F110"/>
    <mergeCell ref="B112:H112"/>
    <mergeCell ref="C113:F113"/>
    <mergeCell ref="C114:F114"/>
    <mergeCell ref="B115:F115"/>
    <mergeCell ref="B117:H117"/>
    <mergeCell ref="C118:F118"/>
    <mergeCell ref="C119:F119"/>
    <mergeCell ref="C120:F120"/>
    <mergeCell ref="B121:G121"/>
    <mergeCell ref="B123:H123"/>
    <mergeCell ref="C124:G124"/>
    <mergeCell ref="C125:G125"/>
    <mergeCell ref="C126:G126"/>
    <mergeCell ref="C127:G127"/>
    <mergeCell ref="C128:G128"/>
    <mergeCell ref="C129:G129"/>
    <mergeCell ref="B130:G130"/>
    <mergeCell ref="C132:F132"/>
    <mergeCell ref="B134:H134"/>
    <mergeCell ref="C135:F135"/>
    <mergeCell ref="C136:F136"/>
    <mergeCell ref="C137:F137"/>
    <mergeCell ref="D138:E138"/>
    <mergeCell ref="D139:F139"/>
    <mergeCell ref="D140:F140"/>
    <mergeCell ref="C141:F141"/>
    <mergeCell ref="C142:F142"/>
    <mergeCell ref="C143:F143"/>
    <mergeCell ref="B144:F144"/>
    <mergeCell ref="B146:H146"/>
    <mergeCell ref="B147:G147"/>
    <mergeCell ref="C148:G148"/>
    <mergeCell ref="C149:G149"/>
    <mergeCell ref="C150:G150"/>
    <mergeCell ref="F156:G156"/>
    <mergeCell ref="F157:G157"/>
    <mergeCell ref="C151:G151"/>
    <mergeCell ref="C152:G152"/>
    <mergeCell ref="B153:G153"/>
    <mergeCell ref="C154:G154"/>
    <mergeCell ref="B155:G155"/>
    <mergeCell ref="B156:D156"/>
    <mergeCell ref="B157:D157"/>
    <mergeCell ref="B158:G158"/>
    <mergeCell ref="B43:G43"/>
    <mergeCell ref="B45:H45"/>
    <mergeCell ref="B46:H46"/>
    <mergeCell ref="C47:F47"/>
    <mergeCell ref="C48:F48"/>
    <mergeCell ref="C49:F49"/>
    <mergeCell ref="B50:F50"/>
    <mergeCell ref="B52:H52"/>
    <mergeCell ref="C53:F53"/>
    <mergeCell ref="C55:F55"/>
    <mergeCell ref="B56:B57"/>
    <mergeCell ref="C56:C57"/>
    <mergeCell ref="G56:G57"/>
    <mergeCell ref="H56:H57"/>
    <mergeCell ref="D56:F56"/>
    <mergeCell ref="C58:F58"/>
    <mergeCell ref="C59:F59"/>
    <mergeCell ref="C60:F60"/>
    <mergeCell ref="C61:F61"/>
    <mergeCell ref="C62:F62"/>
    <mergeCell ref="B63:F63"/>
    <mergeCell ref="B65:H65"/>
    <mergeCell ref="C66:F66"/>
    <mergeCell ref="B67:B68"/>
    <mergeCell ref="D67:F67"/>
    <mergeCell ref="C68:F68"/>
    <mergeCell ref="D69:F69"/>
    <mergeCell ref="C70:F70"/>
    <mergeCell ref="C71:F71"/>
    <mergeCell ref="C72:F72"/>
    <mergeCell ref="C73:F73"/>
    <mergeCell ref="C74:F74"/>
    <mergeCell ref="C75:F75"/>
    <mergeCell ref="B76:G76"/>
    <mergeCell ref="B78:H78"/>
    <mergeCell ref="C79:F79"/>
    <mergeCell ref="C80:F80"/>
    <mergeCell ref="B81:G81"/>
    <mergeCell ref="B83:H83"/>
    <mergeCell ref="C84:G84"/>
    <mergeCell ref="C85:G85"/>
    <mergeCell ref="C86:G86"/>
    <mergeCell ref="C103:F103"/>
    <mergeCell ref="C104:F104"/>
    <mergeCell ref="C105:F105"/>
    <mergeCell ref="C106:F106"/>
    <mergeCell ref="C107:F107"/>
    <mergeCell ref="C108:F108"/>
    <mergeCell ref="C109:F109"/>
  </mergeCells>
  <conditionalFormatting sqref="C141:F141">
    <cfRule type="cellIs" dxfId="0" priority="1" operator="equal">
      <formula>"Licitante deve informar alíquota CPRB (Contribuição Previdenciária sobre a Receita Bruta) conforme Lei 12.546/2011"</formula>
    </cfRule>
  </conditionalFormatting>
  <dataValidations>
    <dataValidation type="list" allowBlank="1" showInputMessage="1" prompt="Certifique-se de estar usando os valores corretos." sqref="G32">
      <formula1>AUX!$E$2:$E159</formula1>
    </dataValidation>
    <dataValidation type="list" allowBlank="1" showErrorMessage="1" sqref="F138">
      <formula1>"LUCRO PRESUMIDO,LUCRO REAL,SIMPLES NACIONAL"</formula1>
    </dataValidation>
    <dataValidation type="decimal" allowBlank="1" showDropDown="1" showInputMessage="1" showErrorMessage="1" prompt="Insira um número entre 0,5 e 2." sqref="F57">
      <formula1>0.5</formula1>
      <formula2>2.0</formula2>
    </dataValidation>
    <dataValidation type="list" allowBlank="1" showErrorMessage="1" sqref="D39">
      <formula1>AUX!$A$3:$A$6</formula1>
    </dataValidation>
    <dataValidation type="list" allowBlank="1" showErrorMessage="1" sqref="D38 D40 E54">
      <formula1>"SIM,NÃO"</formula1>
    </dataValidation>
    <dataValidation type="list" allowBlank="1" showErrorMessage="1" sqref="E39">
      <formula1>"SALÁRIO-BASE,SALÁRIO MÍNIMO"</formula1>
    </dataValidation>
    <dataValidation type="list" allowBlank="1" showErrorMessage="1" sqref="D57">
      <formula1>"RAT = 1%,RAT = 2%,RAT = 3%"</formula1>
    </dataValidation>
    <dataValidation type="list" allowBlank="1" showInputMessage="1" prompt="Escolha na lista a unidade de medida ou informe outro valor." sqref="F22">
      <formula1>"Posto de Serviço,Metro Quadrado,Hora Técnica Profissional,Outro (especificar)"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75"/>
  </cols>
  <sheetData>
    <row r="1">
      <c r="A1" s="122" t="s">
        <v>160</v>
      </c>
      <c r="D1" s="123" t="s">
        <v>161</v>
      </c>
      <c r="E1" s="124"/>
    </row>
    <row r="2">
      <c r="A2" s="125" t="s">
        <v>162</v>
      </c>
      <c r="B2" s="125" t="s">
        <v>163</v>
      </c>
      <c r="D2" s="126" t="s">
        <v>164</v>
      </c>
      <c r="E2" s="127">
        <v>15.21</v>
      </c>
    </row>
    <row r="3">
      <c r="A3" s="128" t="s">
        <v>165</v>
      </c>
      <c r="B3" s="129">
        <v>0.4</v>
      </c>
      <c r="D3" s="126" t="s">
        <v>166</v>
      </c>
      <c r="E3" s="127">
        <v>21.01</v>
      </c>
    </row>
    <row r="4">
      <c r="A4" s="128" t="s">
        <v>167</v>
      </c>
      <c r="B4" s="129">
        <v>0.2</v>
      </c>
      <c r="D4" s="126" t="s">
        <v>168</v>
      </c>
      <c r="E4" s="127">
        <v>22.0</v>
      </c>
    </row>
    <row r="5">
      <c r="A5" s="128" t="s">
        <v>169</v>
      </c>
      <c r="B5" s="129">
        <v>0.1</v>
      </c>
      <c r="D5" s="126" t="s">
        <v>170</v>
      </c>
      <c r="E5" s="127">
        <v>25.22</v>
      </c>
    </row>
    <row r="6">
      <c r="A6" s="128" t="s">
        <v>59</v>
      </c>
      <c r="B6" s="129">
        <v>0.0</v>
      </c>
      <c r="D6" s="126" t="s">
        <v>171</v>
      </c>
      <c r="E6" s="127">
        <v>30.42</v>
      </c>
    </row>
    <row r="8">
      <c r="A8" s="128" t="s">
        <v>172</v>
      </c>
      <c r="B8" s="130">
        <v>1212.0</v>
      </c>
    </row>
  </sheetData>
  <mergeCells count="2">
    <mergeCell ref="A1:B1"/>
    <mergeCell ref="D1:E1"/>
  </mergeCells>
  <drawing r:id="rId1"/>
</worksheet>
</file>