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MODELO" sheetId="1" state="visible" r:id="rId2"/>
    <sheet name="EM BRANCO" sheetId="2" state="visible" r:id="rId3"/>
    <sheet name="AUX" sheetId="3" state="hidden" r:id="rId4"/>
  </sheets>
  <definedNames>
    <definedName function="false" hidden="false" name="CUSTO_INDIRETO" vbProcedure="false">MODELO!$H$137</definedName>
    <definedName function="false" hidden="false" name="DIAS_TRABALHADOS" vbProcedure="false">MODELO!$G$32</definedName>
    <definedName function="false" hidden="false" name="EMPREG_POR_POSTO" vbProcedure="false">MODELO!$E$157</definedName>
    <definedName function="false" hidden="false" name="LUCRO" vbProcedure="false">MODELO!$H$138</definedName>
    <definedName function="false" hidden="false" name="MODULO_1" vbProcedure="false">MODELO!$H$43</definedName>
    <definedName function="false" hidden="false" name="MODULO_2" vbProcedure="false">MODELO!$H$89</definedName>
    <definedName function="false" hidden="false" name="MODULO_2.1" vbProcedure="false">MODELO!$H$50</definedName>
    <definedName function="false" hidden="false" name="MODULO_2.2" vbProcedure="false">MODELO!$H$63</definedName>
    <definedName function="false" hidden="false" name="MODULO_2.3" vbProcedure="false">MODELO!$H$76</definedName>
    <definedName function="false" hidden="false" name="MODULO_2.4" vbProcedure="false">MODELO!$H$81</definedName>
    <definedName function="false" hidden="false" name="MODULO_3" vbProcedure="false">MODELO!$H$99</definedName>
    <definedName function="false" hidden="false" name="MODULO_4" vbProcedure="false">MODELO!$H$121</definedName>
    <definedName function="false" hidden="false" name="MODULO_4.1" vbProcedure="false">MODELO!$H$110</definedName>
    <definedName function="false" hidden="false" name="MODULO_4.2" vbProcedure="false">MODELO!$H$115</definedName>
    <definedName function="false" hidden="false" name="MODULO_5" vbProcedure="false">MODELO!$H$131</definedName>
    <definedName function="false" hidden="false" name="MODULO_6" vbProcedure="false">MODELO!$H$145</definedName>
    <definedName function="false" hidden="false" name="PERCENT_MODULO_2.1" vbProcedure="false">MODELO!$G$50</definedName>
    <definedName function="false" hidden="false" name="PERCENT_MODULO_2.2" vbProcedure="false">MODELO!$G$63</definedName>
    <definedName function="false" hidden="false" name="PERCENT_MODULO_3" vbProcedure="false">MODELO!$G$99</definedName>
    <definedName function="false" hidden="false" name="PERCENT_MODULO_4.1" vbProcedure="false">MODELO!$G$110</definedName>
    <definedName function="false" hidden="false" name="PERICULOSIDADE" vbProcedure="false">MODELO!$H$38</definedName>
    <definedName function="false" hidden="false" name="SALARIO_BASE" vbProcedure="false">MODELO!$H$37</definedName>
    <definedName function="false" hidden="false" name="SAL_MINIMO" vbProcedure="false">AUX!$B$8</definedName>
    <definedName function="false" hidden="false" name="VALOR_POSTO" vbProcedure="false">MODELO!$H$157</definedName>
    <definedName function="false" hidden="false" localSheetId="1" name="CUSTO_INDIRETO" vbProcedure="false">'EM BRANCO'!$H$137</definedName>
    <definedName function="false" hidden="false" localSheetId="1" name="DIAS_TRABALHADOS" vbProcedure="false">'EM BRANCO'!$G$32</definedName>
    <definedName function="false" hidden="false" localSheetId="1" name="EMPREG_POR_POSTO" vbProcedure="false">'EM BRANCO'!$E$157</definedName>
    <definedName function="false" hidden="false" localSheetId="1" name="LUCRO" vbProcedure="false">'EM BRANCO'!$H$138</definedName>
    <definedName function="false" hidden="false" localSheetId="1" name="MODULO_1" vbProcedure="false">'EM BRANCO'!$H$43</definedName>
    <definedName function="false" hidden="false" localSheetId="1" name="MODULO_2" vbProcedure="false">'EM BRANCO'!$H$89</definedName>
    <definedName function="false" hidden="false" localSheetId="1" name="MODULO_2.1" vbProcedure="false">'EM BRANCO'!$H$50</definedName>
    <definedName function="false" hidden="false" localSheetId="1" name="MODULO_2.2" vbProcedure="false">'EM BRANCO'!$H$63</definedName>
    <definedName function="false" hidden="false" localSheetId="1" name="MODULO_2.3" vbProcedure="false">'EM BRANCO'!$H$76</definedName>
    <definedName function="false" hidden="false" localSheetId="1" name="MODULO_2.4" vbProcedure="false">'EM BRANCO'!$H$81</definedName>
    <definedName function="false" hidden="false" localSheetId="1" name="MODULO_3" vbProcedure="false">'EM BRANCO'!$H$99</definedName>
    <definedName function="false" hidden="false" localSheetId="1" name="MODULO_4" vbProcedure="false">'EM BRANCO'!$H$121</definedName>
    <definedName function="false" hidden="false" localSheetId="1" name="MODULO_4.1" vbProcedure="false">'EM BRANCO'!$H$110</definedName>
    <definedName function="false" hidden="false" localSheetId="1" name="MODULO_4.2" vbProcedure="false">'EM BRANCO'!$H$115</definedName>
    <definedName function="false" hidden="false" localSheetId="1" name="MODULO_5" vbProcedure="false">'EM BRANCO'!$H$131</definedName>
    <definedName function="false" hidden="false" localSheetId="1" name="MODULO_6" vbProcedure="false">'EM BRANCO'!$H$145</definedName>
    <definedName function="false" hidden="false" localSheetId="1" name="PERCENT_MODULO_2.1" vbProcedure="false">'EM BRANCO'!$G$50</definedName>
    <definedName function="false" hidden="false" localSheetId="1" name="PERCENT_MODULO_2.2" vbProcedure="false">'EM BRANCO'!$G$63</definedName>
    <definedName function="false" hidden="false" localSheetId="1" name="PERCENT_MODULO_3" vbProcedure="false">'EM BRANCO'!$G$99</definedName>
    <definedName function="false" hidden="false" localSheetId="1" name="PERCENT_MODULO_4.1" vbProcedure="false">'EM BRANCO'!$G$110</definedName>
    <definedName function="false" hidden="false" localSheetId="1" name="PERICULOSIDADE" vbProcedure="false">'EM BRANCO'!$H$38</definedName>
    <definedName function="false" hidden="false" localSheetId="1" name="SALARIO_BASE" vbProcedure="false">'EM BRANCO'!$H$37</definedName>
    <definedName function="false" hidden="false" localSheetId="1" name="VALOR_POSTO" vbProcedure="false">'EM BRANCO'!$H$157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9" authorId="0">
      <text>
        <r>
          <rPr>
            <sz val="10"/>
            <color rgb="FF000000"/>
            <rFont val="Arial"/>
            <family val="2"/>
            <charset val="1"/>
          </rPr>
          <t>1830,04
======</t>
        </r>
      </text>
    </comment>
  </commentList>
</comments>
</file>

<file path=xl/sharedStrings.xml><?xml version="1.0" encoding="utf-8"?>
<sst xmlns="http://schemas.openxmlformats.org/spreadsheetml/2006/main" count="536" uniqueCount="174">
  <si>
    <t>PROPOSTA</t>
  </si>
  <si>
    <t>PLANILHA DE CUSTOS E FORMAÇÃO DE PREÇOS</t>
  </si>
  <si>
    <t>Informações Gerais</t>
  </si>
  <si>
    <r>
      <t>Órgão Licitante:</t>
    </r>
    <r>
      <rPr>
        <b val="true"/>
        <sz val="8"/>
        <color rgb="FF0000FF"/>
        <rFont val="Arial"/>
        <family val="2"/>
        <charset val="1"/>
      </rPr>
      <t> TRIBUNAL REGIONAL DO TRABALHO DA 12ª REGIÃO</t>
    </r>
  </si>
  <si>
    <t>Nº do Processo:</t>
  </si>
  <si>
    <t>Licitação nº :</t>
  </si>
  <si>
    <t>Razão Social: </t>
  </si>
  <si>
    <t>CNPJ:</t>
  </si>
  <si>
    <t>Endereço Comercial:</t>
  </si>
  <si>
    <t>Bairro:</t>
  </si>
  <si>
    <r>
      <t>Cidade:</t>
    </r>
    <r>
      <rPr>
        <sz val="8"/>
        <color rgb="FF0000FF"/>
        <rFont val="Arial"/>
        <family val="2"/>
        <charset val="1"/>
      </rPr>
      <t> FLORIANÓPOLIS</t>
    </r>
  </si>
  <si>
    <r>
      <t>Estado:</t>
    </r>
    <r>
      <rPr>
        <sz val="8"/>
        <color rgb="FF0000FF"/>
        <rFont val="Arial"/>
        <family val="2"/>
        <charset val="1"/>
      </rPr>
      <t> SC</t>
    </r>
  </si>
  <si>
    <t>CEP:</t>
  </si>
  <si>
    <t>Telefone:</t>
  </si>
  <si>
    <t>Email:</t>
  </si>
  <si>
    <t>Validade da Proposta: 60 dias</t>
  </si>
  <si>
    <t>Discriminação dos Serviços (dados referentes à contratação)</t>
  </si>
  <si>
    <t>A</t>
  </si>
  <si>
    <t>Data de apresentação da proposta (dia/mês/ano):</t>
  </si>
  <si>
    <t>B</t>
  </si>
  <si>
    <t>Município/UF (onde o serviço será prestado):</t>
  </si>
  <si>
    <t>FLORIANÓPOLIS / SC</t>
  </si>
  <si>
    <t>C</t>
  </si>
  <si>
    <t>Acordo, Convenção ou Sentença em Dissídio Coletivo:</t>
  </si>
  <si>
    <t>CCT 2022/2023</t>
  </si>
  <si>
    <t>D</t>
  </si>
  <si>
    <t>Nº de meses da execução contratual:</t>
  </si>
  <si>
    <t>Identificação do Serviço</t>
  </si>
  <si>
    <t>Tipo de Serviço/Carga Horária</t>
  </si>
  <si>
    <t>Empregados por Posto</t>
  </si>
  <si>
    <t>Unidade de Medida</t>
  </si>
  <si>
    <t>Qtdade. Total a Contratar
(Nº de Postos)</t>
  </si>
  <si>
    <t>Posto de Trabalho de DESIGNER GRÁFICO – 35 horas semanais</t>
  </si>
  <si>
    <t>Posto de Serviço</t>
  </si>
  <si>
    <t>Mão de Obra</t>
  </si>
  <si>
    <t>Mão de Obra Vinculada à Execução Contratual</t>
  </si>
  <si>
    <t>Dados Complementares para Composição dos Custos Referentes à Mão de Obra</t>
  </si>
  <si>
    <t>Tipo de serviço (descrição resumida):</t>
  </si>
  <si>
    <t>DESIGNER GRÁFICO</t>
  </si>
  <si>
    <t>Classificação Brasileira de Ocupações (CBO):</t>
  </si>
  <si>
    <t>2624-10</t>
  </si>
  <si>
    <t>Salário Normativo da Categoria Profissional:</t>
  </si>
  <si>
    <t>Categoria Profissional (vinculada à execução contratual):</t>
  </si>
  <si>
    <t>E</t>
  </si>
  <si>
    <t>Data-Base da Categoria (dia/mês):</t>
  </si>
  <si>
    <t>F</t>
  </si>
  <si>
    <t>Dias Trabalhados no Mês:</t>
  </si>
  <si>
    <t>G</t>
  </si>
  <si>
    <t>Local de Execução dos Serviços:</t>
  </si>
  <si>
    <t>SEDE DO TRIBUNAL REGIONAL DO TRABALHO DA 12ª REGIÃO</t>
  </si>
  <si>
    <t>MÓDULO 1: COMPOSIÇÃO DA REMUNERAÇÃO</t>
  </si>
  <si>
    <t>Rubrica</t>
  </si>
  <si>
    <t>Percentual (%)</t>
  </si>
  <si>
    <t>Valor (R$)</t>
  </si>
  <si>
    <t>Salário-Base:</t>
  </si>
  <si>
    <t>Adicional de Periculosidade:</t>
  </si>
  <si>
    <t>NÃO</t>
  </si>
  <si>
    <t>Adicional de Insalubridade:</t>
  </si>
  <si>
    <t>Adicional Noturno:</t>
  </si>
  <si>
    <t>Adicional de Hora Noturna Reduzida:</t>
  </si>
  <si>
    <t>Outros (especificar):</t>
  </si>
  <si>
    <t>Total da Remuneração:</t>
  </si>
  <si>
    <t>MÓDULO 2: ENCARGOS E BENEFÍCIOS ANUAIS, MENSAIS E DIÁRIOS</t>
  </si>
  <si>
    <t>SUBMÓDULO 2.1: 13º Salário, Férias e Adicional de Férias </t>
  </si>
  <si>
    <t>13º Salário:</t>
  </si>
  <si>
    <t>Férias e Adicional de Férias:</t>
  </si>
  <si>
    <t>Subtotal:</t>
  </si>
  <si>
    <r>
      <t>SUBMÓDULO 2.2: GPS, FGTS e Outras Contribuições </t>
    </r>
    <r>
      <rPr>
        <b val="true"/>
        <sz val="9"/>
        <color rgb="FFFF0000"/>
        <rFont val="Arial"/>
        <family val="2"/>
        <charset val="1"/>
      </rPr>
      <t>(Incide sobre os Módulos 1 e 2.1)</t>
    </r>
  </si>
  <si>
    <t>INSS:</t>
  </si>
  <si>
    <t>DESONERAÇÃO FOLHA DE PAGAMENTO:</t>
  </si>
  <si>
    <t>Salário Educação:</t>
  </si>
  <si>
    <t>Seguro Acidente de Trabalho:</t>
  </si>
  <si>
    <t> RAT x FAP ; utilizar o FAP efetivo conforme GFIP ou FAP-WEB</t>
  </si>
  <si>
    <t>RAT = 3%</t>
  </si>
  <si>
    <t>FAP = </t>
  </si>
  <si>
    <t>SESI ou SESC:</t>
  </si>
  <si>
    <t>SENAI ou SENAC:</t>
  </si>
  <si>
    <t>SEBRAE:</t>
  </si>
  <si>
    <t>INCRA:</t>
  </si>
  <si>
    <t>H</t>
  </si>
  <si>
    <t>FGTS:</t>
  </si>
  <si>
    <t>SUBMÓDULO 2.3: Benefícios Mensais e Diários</t>
  </si>
  <si>
    <t>Valor unitário (R$)</t>
  </si>
  <si>
    <t>Valor Mensal (R$)</t>
  </si>
  <si>
    <t>Transporte:</t>
  </si>
  <si>
    <t>Valor Ticket:</t>
  </si>
  <si>
    <t>(-) Desconto Auxílio Transporte:                                                                                                                                    até</t>
  </si>
  <si>
    <t>Auxílio Alimentação/Refeição:</t>
  </si>
  <si>
    <t>(-) Desconto Auxílio Alimentação/Refeição:</t>
  </si>
  <si>
    <t>Assistência Médica, Odontológica e Familiar:</t>
  </si>
  <si>
    <t>-</t>
  </si>
  <si>
    <t>Seguros de Vida, Invalidez e Funeral:</t>
  </si>
  <si>
    <t>Prêmio Assiduidade</t>
  </si>
  <si>
    <t>SUBMÓDULO 2.4: Intervalo Intrajornada do Titular</t>
  </si>
  <si>
    <t>Intervalo Intrajornada</t>
  </si>
  <si>
    <t>QUADRO-RESUMO DO MÓDULO 2: ENCARGOS E BENEFÍCIOS ANUAIS, MENSAIS E DIÁRIOS</t>
  </si>
  <si>
    <t>13º Salário, Férias e Adicional de Férias:</t>
  </si>
  <si>
    <t>GPS, FGTS e Outras Contribuições:</t>
  </si>
  <si>
    <t>Benefícios Mensais e Diários:</t>
  </si>
  <si>
    <t>Intervalo Intrajornada do Titular:</t>
  </si>
  <si>
    <t>Total:</t>
  </si>
  <si>
    <t>MÓDULO 3: PROVISÃO PARA RESCISÃO</t>
  </si>
  <si>
    <t>Aviso Prévio Indenizado:</t>
  </si>
  <si>
    <t>Incidência do FGTS sobre o Aviso Prévio Indenizado:</t>
  </si>
  <si>
    <r>
      <t>Multa do FGTS </t>
    </r>
    <r>
      <rPr>
        <strike val="true"/>
        <sz val="8"/>
        <color rgb="FF000000"/>
        <rFont val="Arial"/>
        <family val="2"/>
        <charset val="1"/>
      </rPr>
      <t>e Contribuição Social</t>
    </r>
    <r>
      <rPr>
        <sz val="8"/>
        <color rgb="FF000000"/>
        <rFont val="Arial"/>
        <family val="2"/>
        <charset val="1"/>
      </rPr>
      <t> sobre o Aviso Prévio Indenizado:</t>
    </r>
  </si>
  <si>
    <t>Aviso Prévio Trabalhado:</t>
  </si>
  <si>
    <t>Incidência do Submódulo 2.2 sobre o Aviso Prévio Trabalhado:</t>
  </si>
  <si>
    <r>
      <t>Multa do FGTS </t>
    </r>
    <r>
      <rPr>
        <strike val="true"/>
        <sz val="8"/>
        <color rgb="FF000000"/>
        <rFont val="Arial"/>
        <family val="2"/>
        <charset val="1"/>
      </rPr>
      <t>e Contribuição Social</t>
    </r>
    <r>
      <rPr>
        <sz val="8"/>
        <color rgb="FF000000"/>
        <rFont val="Arial"/>
        <family val="2"/>
        <charset val="1"/>
      </rPr>
      <t> sobre o Aviso Prévio Trabalhado:</t>
    </r>
  </si>
  <si>
    <t>MÓDULO 4: CUSTO DE REPOSIÇÃO DO PROFISSIONAL AUSENTE</t>
  </si>
  <si>
    <t>SUBMÓDULO 4.1: Substituto nas Ausências Legais</t>
  </si>
  <si>
    <t>Substituto na Cobertura de Férias:</t>
  </si>
  <si>
    <t>Substituto na Cobertura de Ausências Legais:</t>
  </si>
  <si>
    <t>Substituto na Cobertura de Licença-Paternidade:</t>
  </si>
  <si>
    <t>Substituto na Cobertura de Ausência por Acidente de Trabalho:</t>
  </si>
  <si>
    <t>Substituto na Cobertura de Afastamento Maternidade:</t>
  </si>
  <si>
    <t>Substituto na Cobertura de Outras Ausências (doença):</t>
  </si>
  <si>
    <t>SUBMÓDULO 4.2: Substituto na Intrajornada</t>
  </si>
  <si>
    <t>Substituto na Cobertura de Intervalo para Repouso ou Alimentação:</t>
  </si>
  <si>
    <t>QUADRO-RESUMO DO MÓDULO 4: CUSTO DE REPOSIÇÃO DO PROFISSIONAL AUSENTE</t>
  </si>
  <si>
    <t>Substituto nas Ausências Legais:</t>
  </si>
  <si>
    <t>Substituto na Intrajornada:</t>
  </si>
  <si>
    <t>Total</t>
  </si>
  <si>
    <t>MÓDULO 5: INSUMOS DIVERSOS</t>
  </si>
  <si>
    <t>Uniformes:</t>
  </si>
  <si>
    <t>Materiais:</t>
  </si>
  <si>
    <t>Equipamentos (depreciação):</t>
  </si>
  <si>
    <t>TOTAL DE ENCARGOS:</t>
  </si>
  <si>
    <t>MÓDULO 6: CUSTOS INDIRETOS, TRIBUTOS E LUCRO</t>
  </si>
  <si>
    <t>Custos Indiretos:</t>
  </si>
  <si>
    <t>Lucro:</t>
  </si>
  <si>
    <t>C.1</t>
  </si>
  <si>
    <t>Tributos Federais:</t>
  </si>
  <si>
    <t>Regime Tributário:</t>
  </si>
  <si>
    <t>LUCRO REAL</t>
  </si>
  <si>
    <t>C.1.A</t>
  </si>
  <si>
    <t>PIS:</t>
  </si>
  <si>
    <t>C.1.B</t>
  </si>
  <si>
    <t>COFINS:</t>
  </si>
  <si>
    <t>C.1.C</t>
  </si>
  <si>
    <t>C.3</t>
  </si>
  <si>
    <t>Tributos Municipais:</t>
  </si>
  <si>
    <t>C.3.A</t>
  </si>
  <si>
    <t>ISS:</t>
  </si>
  <si>
    <t>QUADRO-RESUMO DO CUSTO POR EMPREGADO</t>
  </si>
  <si>
    <t>Mão-de-Obra Vinculada à Execução Contratual (valor por empregado)</t>
  </si>
  <si>
    <t>Módulo 1 - Composição da Remuneração:</t>
  </si>
  <si>
    <t>Módulo 2 - Encargos e Benefícios Anuais, Mensais e Diários:</t>
  </si>
  <si>
    <t>Módulo 3 - Provisão para Rescisão:</t>
  </si>
  <si>
    <t>Módulo 4: Custo de Reposição do Profissional Ausente:</t>
  </si>
  <si>
    <t>Módulo 5: insumos Diversos:</t>
  </si>
  <si>
    <t>Subtotal (A + B + C + D + E):</t>
  </si>
  <si>
    <t>Módulo 6 - Custos Indiretos, Tributos e Lucro:</t>
  </si>
  <si>
    <t>VALOR MENSAL TOTAL POR EMPREGADO:</t>
  </si>
  <si>
    <t>EMPREGADOS POR POSTO:</t>
  </si>
  <si>
    <t>VALOR MENSAL TOTAL POR POSTO:</t>
  </si>
  <si>
    <t>QUANTIDADE DE POSTOS:</t>
  </si>
  <si>
    <t>VALOR MENSAL DO CONTRATO:</t>
  </si>
  <si>
    <t>VALOR TOTAL DO CONTRATO:</t>
  </si>
  <si>
    <r>
      <t>Cidade:</t>
    </r>
    <r>
      <rPr>
        <sz val="8"/>
        <color rgb="FF0000FF"/>
        <rFont val="Arial"/>
        <family val="2"/>
        <charset val="1"/>
      </rPr>
      <t> </t>
    </r>
  </si>
  <si>
    <r>
      <t>Estado:</t>
    </r>
    <r>
      <rPr>
        <sz val="8"/>
        <color rgb="FF0000FF"/>
        <rFont val="Arial"/>
        <family val="2"/>
        <charset val="1"/>
      </rPr>
      <t> </t>
    </r>
  </si>
  <si>
    <t>(-) Desconto Auxílio Transporte:</t>
  </si>
  <si>
    <t>INSALUBRIDADE</t>
  </si>
  <si>
    <t>DIAS TRABALHADOS NO MÊS</t>
  </si>
  <si>
    <t>GRAU</t>
  </si>
  <si>
    <t>PERCENTUAL</t>
  </si>
  <si>
    <t>12x36</t>
  </si>
  <si>
    <t>MÁXIMO</t>
  </si>
  <si>
    <t>SEG-SEX 40H</t>
  </si>
  <si>
    <t>MÉDIO</t>
  </si>
  <si>
    <t>GENÉRICO</t>
  </si>
  <si>
    <t>MÍNIMO</t>
  </si>
  <si>
    <t>SEG-SAB 44H</t>
  </si>
  <si>
    <t>365/12</t>
  </si>
  <si>
    <t>SALÁRIO MÍNIMO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</si>
</sst>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;\(#,##0.00\)"/>
    <numFmt numFmtId="166" formatCode="DD/MM/YYYY"/>
    <numFmt numFmtId="167" formatCode="[$R$ -416]#,##0.00"/>
    <numFmt numFmtId="168" formatCode="0.00"/>
    <numFmt numFmtId="169" formatCode="0.00%"/>
    <numFmt numFmtId="170" formatCode="D\.M"/>
    <numFmt numFmtId="171" formatCode="0.0000"/>
    <numFmt numFmtId="172" formatCode="0"/>
    <numFmt numFmtId="173" formatCode="0.000%"/>
    <numFmt numFmtId="174" formatCode="#,##0.00"/>
    <numFmt numFmtId="175" formatCode="_([$R$ -416]* #,##0.00_);_([$R$ -416]* \(#,##0.00\);_([$R$ -416]* \-??_);_(@_)"/>
  </numFmts>
  <fonts count="19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trike val="true"/>
      <sz val="8"/>
      <color rgb="FF00000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EA4335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D9D9D9"/>
      </patternFill>
    </fill>
    <fill>
      <patternFill patternType="solid">
        <fgColor rgb="FFEFEFEF"/>
        <bgColor rgb="FFFFFFFF"/>
      </patternFill>
    </fill>
    <fill>
      <patternFill patternType="solid">
        <fgColor rgb="FFFFFFFF"/>
        <bgColor rgb="FFEFEFEF"/>
      </patternFill>
    </fill>
    <fill>
      <patternFill patternType="solid">
        <fgColor rgb="FFF6B26B"/>
        <bgColor rgb="FFFFD966"/>
      </patternFill>
    </fill>
    <fill>
      <patternFill patternType="solid">
        <fgColor rgb="FFD9D9D9"/>
        <bgColor rgb="FFCCCCCC"/>
      </patternFill>
    </fill>
    <fill>
      <patternFill patternType="solid">
        <fgColor rgb="FFFFD966"/>
        <bgColor rgb="FFF6B26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6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10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7" fillId="7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7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6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9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6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6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7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5" fontId="10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6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9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6" fillId="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7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17" fillId="7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b val="true"/>
        <sz val="10"/>
        <color rgb="FFFF0000"/>
        <name val="Arial"/>
        <family val="2"/>
        <charset val="1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6B26B"/>
      <rgbColor rgb="FFCC99FF"/>
      <rgbColor rgb="FFFFD966"/>
      <rgbColor rgb="FF3366FF"/>
      <rgbColor rgb="FF33CCCC"/>
      <rgbColor rgb="FF99CC00"/>
      <rgbColor rgb="FFFFCC00"/>
      <rgbColor rgb="FFFF9900"/>
      <rgbColor rgb="FFEA4335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59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5" activeCellId="0" sqref="G145"/>
    </sheetView>
  </sheetViews>
  <sheetFormatPr defaultRowHeight="15"/>
  <cols>
    <col collapsed="false" hidden="false" max="1" min="1" style="0" width="1.37755102040816"/>
    <col collapsed="false" hidden="false" max="2" min="2" style="0" width="5.12755102040816"/>
    <col collapsed="false" hidden="false" max="3" min="3" style="0" width="22.6224489795918"/>
    <col collapsed="false" hidden="false" max="4" min="4" style="0" width="13.6275510204082"/>
    <col collapsed="false" hidden="false" max="5" min="5" style="0" width="6.5"/>
    <col collapsed="false" hidden="false" max="6" min="6" style="0" width="27.6275510204082"/>
    <col collapsed="false" hidden="false" max="7" min="7" style="0" width="18.8826530612245"/>
    <col collapsed="false" hidden="false" max="8" min="8" style="0" width="17.25"/>
    <col collapsed="false" hidden="false" max="26" min="9" style="0" width="8.63265306122449"/>
    <col collapsed="false" hidden="false" max="1025" min="27" style="0" width="12.6275510204082"/>
  </cols>
  <sheetData>
    <row r="1" customFormat="false" ht="8.25" hidden="false" customHeight="true" outlineLevel="0" collapsed="false">
      <c r="H1" s="1"/>
    </row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2"/>
    </row>
    <row r="3" customFormat="false" ht="15.75" hidden="false" customHeight="true" outlineLevel="0" collapsed="false">
      <c r="B3" s="3" t="s">
        <v>1</v>
      </c>
      <c r="C3" s="3"/>
      <c r="D3" s="3"/>
      <c r="E3" s="3"/>
      <c r="F3" s="3"/>
      <c r="G3" s="3"/>
      <c r="H3" s="3"/>
    </row>
    <row r="4" customFormat="false" ht="15.75" hidden="false" customHeight="true" outlineLevel="0" collapsed="false">
      <c r="B4" s="3" t="s">
        <v>2</v>
      </c>
      <c r="C4" s="3"/>
      <c r="D4" s="3"/>
      <c r="E4" s="3"/>
      <c r="F4" s="3"/>
      <c r="G4" s="3"/>
      <c r="H4" s="3"/>
    </row>
    <row r="5" customFormat="false" ht="15.75" hidden="false" customHeight="true" outlineLevel="0" collapsed="false">
      <c r="B5" s="4" t="s">
        <v>3</v>
      </c>
      <c r="C5" s="4"/>
      <c r="D5" s="4"/>
      <c r="E5" s="4"/>
      <c r="F5" s="4"/>
      <c r="G5" s="4"/>
      <c r="H5" s="4"/>
    </row>
    <row r="6" customFormat="false" ht="15.75" hidden="false" customHeight="true" outlineLevel="0" collapsed="false">
      <c r="B6" s="5" t="s">
        <v>4</v>
      </c>
      <c r="C6" s="5"/>
      <c r="D6" s="5"/>
      <c r="E6" s="5"/>
      <c r="F6" s="5" t="s">
        <v>5</v>
      </c>
      <c r="G6" s="5"/>
      <c r="H6" s="5"/>
    </row>
    <row r="7" customFormat="false" ht="15.75" hidden="false" customHeight="true" outlineLevel="0" collapsed="false">
      <c r="B7" s="6" t="s">
        <v>6</v>
      </c>
      <c r="C7" s="6"/>
      <c r="D7" s="6"/>
      <c r="E7" s="6"/>
      <c r="F7" s="6"/>
      <c r="G7" s="6"/>
      <c r="H7" s="6"/>
    </row>
    <row r="8" customFormat="false" ht="15.75" hidden="false" customHeight="true" outlineLevel="0" collapsed="false">
      <c r="B8" s="7" t="s">
        <v>7</v>
      </c>
      <c r="C8" s="7"/>
      <c r="D8" s="7"/>
      <c r="E8" s="7"/>
      <c r="F8" s="7"/>
      <c r="G8" s="7"/>
      <c r="H8" s="7"/>
    </row>
    <row r="9" customFormat="false" ht="15.75" hidden="false" customHeight="true" outlineLevel="0" collapsed="false">
      <c r="B9" s="6" t="s">
        <v>8</v>
      </c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B10" s="7" t="s">
        <v>9</v>
      </c>
      <c r="C10" s="7"/>
      <c r="D10" s="7" t="s">
        <v>10</v>
      </c>
      <c r="E10" s="7"/>
      <c r="F10" s="7"/>
      <c r="G10" s="7" t="s">
        <v>11</v>
      </c>
      <c r="H10" s="7"/>
    </row>
    <row r="11" customFormat="false" ht="15.75" hidden="false" customHeight="true" outlineLevel="0" collapsed="false">
      <c r="B11" s="6" t="s">
        <v>12</v>
      </c>
      <c r="C11" s="6"/>
      <c r="D11" s="6" t="s">
        <v>13</v>
      </c>
      <c r="E11" s="6"/>
      <c r="F11" s="6" t="s">
        <v>14</v>
      </c>
      <c r="G11" s="6"/>
      <c r="H11" s="6"/>
    </row>
    <row r="12" customFormat="false" ht="15.75" hidden="false" customHeight="true" outlineLevel="0" collapsed="false">
      <c r="A12" s="8"/>
      <c r="B12" s="9" t="str">
        <f aca="false">CONCATENATE(MID(D10,8,200)," /",MID(G10,8,200),", ",TEXT($G$15,"DD")," de ",TEXT($G$15,"MMMM")," de ",TEXT($G$15,"YYYY"),".")</f>
        <v> FLORIANÓPOLIS / SC, 21 de novembro de YYYY.</v>
      </c>
      <c r="C12" s="9"/>
      <c r="D12" s="9"/>
      <c r="E12" s="9"/>
      <c r="F12" s="10" t="s">
        <v>15</v>
      </c>
      <c r="G12" s="10"/>
      <c r="H12" s="10"/>
    </row>
    <row r="13" customFormat="false" ht="15.75" hidden="false" customHeight="true" outlineLevel="0" collapsed="false">
      <c r="H13" s="1"/>
    </row>
    <row r="14" customFormat="false" ht="15.75" hidden="false" customHeight="true" outlineLevel="0" collapsed="false">
      <c r="B14" s="3" t="s">
        <v>16</v>
      </c>
      <c r="C14" s="3"/>
      <c r="D14" s="3"/>
      <c r="E14" s="3"/>
      <c r="F14" s="3"/>
      <c r="G14" s="3"/>
      <c r="H14" s="3"/>
    </row>
    <row r="15" customFormat="false" ht="15.75" hidden="false" customHeight="true" outlineLevel="0" collapsed="false">
      <c r="B15" s="11" t="s">
        <v>17</v>
      </c>
      <c r="C15" s="12" t="s">
        <v>18</v>
      </c>
      <c r="D15" s="12"/>
      <c r="E15" s="12"/>
      <c r="F15" s="12"/>
      <c r="G15" s="13" t="n">
        <f aca="true">TODAY()</f>
        <v>45251</v>
      </c>
      <c r="H15" s="13"/>
    </row>
    <row r="16" customFormat="false" ht="15.75" hidden="false" customHeight="true" outlineLevel="0" collapsed="false">
      <c r="B16" s="14" t="s">
        <v>19</v>
      </c>
      <c r="C16" s="15" t="s">
        <v>20</v>
      </c>
      <c r="D16" s="15"/>
      <c r="E16" s="15"/>
      <c r="F16" s="15"/>
      <c r="G16" s="16" t="s">
        <v>21</v>
      </c>
      <c r="H16" s="16"/>
    </row>
    <row r="17" customFormat="false" ht="15.75" hidden="false" customHeight="true" outlineLevel="0" collapsed="false">
      <c r="B17" s="11" t="s">
        <v>22</v>
      </c>
      <c r="C17" s="12" t="s">
        <v>23</v>
      </c>
      <c r="D17" s="12"/>
      <c r="E17" s="12"/>
      <c r="F17" s="12"/>
      <c r="G17" s="17" t="s">
        <v>24</v>
      </c>
      <c r="H17" s="17"/>
    </row>
    <row r="18" customFormat="false" ht="15.75" hidden="false" customHeight="true" outlineLevel="0" collapsed="false">
      <c r="B18" s="14" t="s">
        <v>25</v>
      </c>
      <c r="C18" s="15" t="s">
        <v>26</v>
      </c>
      <c r="D18" s="15"/>
      <c r="E18" s="15"/>
      <c r="F18" s="15"/>
      <c r="G18" s="16" t="n">
        <v>12</v>
      </c>
      <c r="H18" s="16"/>
    </row>
    <row r="19" customFormat="false" ht="15.75" hidden="false" customHeight="true" outlineLevel="0" collapsed="false">
      <c r="H19" s="1"/>
    </row>
    <row r="20" customFormat="false" ht="15.75" hidden="false" customHeight="true" outlineLevel="0" collapsed="false">
      <c r="B20" s="3" t="s">
        <v>27</v>
      </c>
      <c r="C20" s="3"/>
      <c r="D20" s="3"/>
      <c r="E20" s="3"/>
      <c r="F20" s="3"/>
      <c r="G20" s="3"/>
      <c r="H20" s="3"/>
    </row>
    <row r="21" customFormat="false" ht="31.5" hidden="false" customHeight="true" outlineLevel="0" collapsed="false">
      <c r="B21" s="18" t="s">
        <v>28</v>
      </c>
      <c r="C21" s="18"/>
      <c r="D21" s="19" t="s">
        <v>29</v>
      </c>
      <c r="E21" s="19"/>
      <c r="F21" s="18" t="s">
        <v>30</v>
      </c>
      <c r="G21" s="19" t="s">
        <v>31</v>
      </c>
      <c r="H21" s="19"/>
    </row>
    <row r="22" customFormat="false" ht="47.25" hidden="false" customHeight="true" outlineLevel="0" collapsed="false">
      <c r="A22" s="20"/>
      <c r="B22" s="21" t="s">
        <v>32</v>
      </c>
      <c r="C22" s="21"/>
      <c r="D22" s="21" t="n">
        <v>1</v>
      </c>
      <c r="E22" s="21"/>
      <c r="F22" s="21" t="s">
        <v>33</v>
      </c>
      <c r="G22" s="21" t="n">
        <v>1</v>
      </c>
      <c r="H22" s="21"/>
    </row>
    <row r="23" customFormat="false" ht="15.75" hidden="false" customHeight="true" outlineLevel="0" collapsed="false">
      <c r="H23" s="1"/>
    </row>
    <row r="24" customFormat="false" ht="15.75" hidden="false" customHeight="true" outlineLevel="0" collapsed="false">
      <c r="B24" s="3" t="s">
        <v>34</v>
      </c>
      <c r="C24" s="3"/>
      <c r="D24" s="3"/>
      <c r="E24" s="3"/>
      <c r="F24" s="3"/>
      <c r="G24" s="3"/>
      <c r="H24" s="3"/>
    </row>
    <row r="25" customFormat="false" ht="15.75" hidden="false" customHeight="true" outlineLevel="0" collapsed="false">
      <c r="B25" s="18" t="s">
        <v>35</v>
      </c>
      <c r="C25" s="18"/>
      <c r="D25" s="18"/>
      <c r="E25" s="18"/>
      <c r="F25" s="18"/>
      <c r="G25" s="18"/>
      <c r="H25" s="18"/>
    </row>
    <row r="26" customFormat="false" ht="15.75" hidden="false" customHeight="true" outlineLevel="0" collapsed="false">
      <c r="B26" s="3" t="s">
        <v>36</v>
      </c>
      <c r="C26" s="3"/>
      <c r="D26" s="3"/>
      <c r="E26" s="3"/>
      <c r="F26" s="3"/>
      <c r="G26" s="3"/>
      <c r="H26" s="3"/>
    </row>
    <row r="27" customFormat="false" ht="15.75" hidden="false" customHeight="true" outlineLevel="0" collapsed="false">
      <c r="B27" s="22" t="s">
        <v>17</v>
      </c>
      <c r="C27" s="23" t="s">
        <v>37</v>
      </c>
      <c r="D27" s="23"/>
      <c r="E27" s="23"/>
      <c r="F27" s="23"/>
      <c r="G27" s="24" t="s">
        <v>38</v>
      </c>
      <c r="H27" s="24"/>
    </row>
    <row r="28" customFormat="false" ht="15.75" hidden="false" customHeight="true" outlineLevel="0" collapsed="false">
      <c r="B28" s="25" t="s">
        <v>19</v>
      </c>
      <c r="C28" s="26" t="s">
        <v>39</v>
      </c>
      <c r="D28" s="26"/>
      <c r="E28" s="26"/>
      <c r="F28" s="26"/>
      <c r="G28" s="27" t="s">
        <v>40</v>
      </c>
      <c r="H28" s="27"/>
    </row>
    <row r="29" customFormat="false" ht="15.75" hidden="false" customHeight="true" outlineLevel="0" collapsed="false">
      <c r="B29" s="22" t="s">
        <v>22</v>
      </c>
      <c r="C29" s="23" t="s">
        <v>41</v>
      </c>
      <c r="D29" s="23"/>
      <c r="E29" s="23"/>
      <c r="F29" s="23"/>
      <c r="G29" s="28" t="n">
        <v>3880</v>
      </c>
      <c r="H29" s="28"/>
    </row>
    <row r="30" customFormat="false" ht="15.75" hidden="false" customHeight="true" outlineLevel="0" collapsed="false">
      <c r="B30" s="25" t="s">
        <v>25</v>
      </c>
      <c r="C30" s="26" t="s">
        <v>42</v>
      </c>
      <c r="D30" s="26"/>
      <c r="E30" s="26"/>
      <c r="F30" s="26"/>
      <c r="G30" s="21" t="s">
        <v>38</v>
      </c>
      <c r="H30" s="21"/>
    </row>
    <row r="31" customFormat="false" ht="15.75" hidden="false" customHeight="true" outlineLevel="0" collapsed="false">
      <c r="B31" s="22" t="s">
        <v>43</v>
      </c>
      <c r="C31" s="23" t="s">
        <v>44</v>
      </c>
      <c r="D31" s="23"/>
      <c r="E31" s="23"/>
      <c r="F31" s="23"/>
      <c r="G31" s="29" t="n">
        <v>44986</v>
      </c>
      <c r="H31" s="29"/>
    </row>
    <row r="32" customFormat="false" ht="15.75" hidden="false" customHeight="true" outlineLevel="0" collapsed="false">
      <c r="A32" s="30"/>
      <c r="B32" s="25" t="s">
        <v>45</v>
      </c>
      <c r="C32" s="26" t="s">
        <v>46</v>
      </c>
      <c r="D32" s="26"/>
      <c r="E32" s="26"/>
      <c r="F32" s="26"/>
      <c r="G32" s="31" t="n">
        <v>22</v>
      </c>
      <c r="H32" s="31"/>
    </row>
    <row r="33" customFormat="false" ht="15" hidden="false" customHeight="true" outlineLevel="0" collapsed="false">
      <c r="B33" s="22" t="s">
        <v>47</v>
      </c>
      <c r="C33" s="23" t="s">
        <v>48</v>
      </c>
      <c r="D33" s="23"/>
      <c r="E33" s="23"/>
      <c r="F33" s="23"/>
      <c r="G33" s="24" t="s">
        <v>49</v>
      </c>
      <c r="H33" s="24"/>
    </row>
    <row r="34" customFormat="false" ht="15.75" hidden="false" customHeight="true" outlineLevel="0" collapsed="false">
      <c r="H34" s="1"/>
    </row>
    <row r="35" customFormat="false" ht="15.75" hidden="false" customHeight="true" outlineLevel="0" collapsed="false">
      <c r="B35" s="32" t="s">
        <v>50</v>
      </c>
      <c r="C35" s="32"/>
      <c r="D35" s="32"/>
      <c r="E35" s="32"/>
      <c r="F35" s="32"/>
      <c r="G35" s="32"/>
      <c r="H35" s="32"/>
    </row>
    <row r="36" customFormat="false" ht="15.75" hidden="false" customHeight="true" outlineLevel="0" collapsed="false">
      <c r="B36" s="33" t="n">
        <v>1</v>
      </c>
      <c r="C36" s="34" t="s">
        <v>51</v>
      </c>
      <c r="D36" s="34"/>
      <c r="E36" s="34"/>
      <c r="F36" s="34"/>
      <c r="G36" s="35" t="s">
        <v>52</v>
      </c>
      <c r="H36" s="36" t="s">
        <v>53</v>
      </c>
    </row>
    <row r="37" customFormat="false" ht="15.75" hidden="false" customHeight="true" outlineLevel="0" collapsed="false">
      <c r="B37" s="37" t="s">
        <v>17</v>
      </c>
      <c r="C37" s="38" t="s">
        <v>54</v>
      </c>
      <c r="D37" s="38"/>
      <c r="E37" s="38"/>
      <c r="F37" s="38"/>
      <c r="G37" s="39" t="n">
        <v>1</v>
      </c>
      <c r="H37" s="40" t="n">
        <f aca="false">G29</f>
        <v>3880</v>
      </c>
    </row>
    <row r="38" customFormat="false" ht="15.75" hidden="false" customHeight="true" outlineLevel="0" collapsed="false">
      <c r="B38" s="41" t="s">
        <v>19</v>
      </c>
      <c r="C38" s="15" t="s">
        <v>55</v>
      </c>
      <c r="D38" s="42" t="s">
        <v>56</v>
      </c>
      <c r="E38" s="15"/>
      <c r="F38" s="15"/>
      <c r="G38" s="43" t="n">
        <f aca="false">IF(D38="SIM",0.3,0)</f>
        <v>0</v>
      </c>
      <c r="H38" s="44" t="n">
        <f aca="false">ROUND(SALARIO_BASE*$G$38,2)</f>
        <v>0</v>
      </c>
    </row>
    <row r="39" customFormat="false" ht="15.75" hidden="false" customHeight="true" outlineLevel="0" collapsed="false">
      <c r="B39" s="37" t="s">
        <v>22</v>
      </c>
      <c r="C39" s="45" t="s">
        <v>57</v>
      </c>
      <c r="D39" s="46" t="s">
        <v>56</v>
      </c>
      <c r="E39" s="47"/>
      <c r="F39" s="47"/>
      <c r="G39" s="39" t="n">
        <f aca="false">ifs(D38="SIM",0,D39="MÁXIMO",0.4,D39="MÉDIO",0.2,D39="MÍNIMO",0.1,D39="NÃO",0)</f>
        <v>0</v>
      </c>
      <c r="H39" s="40" t="n">
        <f aca="false">IF($E$39="SALÁRIO MÍNIMO",ROUND($G$39*SAL_MINIMO,2),IF($E$39="SALÁRIO-BASE",ROUND($G$39*SALARIO_BASE,2),0))</f>
        <v>0</v>
      </c>
    </row>
    <row r="40" customFormat="false" ht="15.75" hidden="false" customHeight="true" outlineLevel="0" collapsed="false">
      <c r="B40" s="41" t="s">
        <v>25</v>
      </c>
      <c r="C40" s="15" t="s">
        <v>58</v>
      </c>
      <c r="D40" s="42" t="s">
        <v>56</v>
      </c>
      <c r="E40" s="15"/>
      <c r="F40" s="15"/>
      <c r="G40" s="43" t="n">
        <f aca="false">IF(D40="SIM",0.2,0)</f>
        <v>0</v>
      </c>
      <c r="H40" s="44" t="n">
        <f aca="false">ROUND(IF($D$40="SIM",(8*(DIAS_TRABALHADOS))*(((SALARIO_BASE+PERICULOSIDADE)/220)*$G$40),0),2)</f>
        <v>0</v>
      </c>
    </row>
    <row r="41" customFormat="false" ht="15.75" hidden="false" customHeight="true" outlineLevel="0" collapsed="false">
      <c r="B41" s="37" t="s">
        <v>43</v>
      </c>
      <c r="C41" s="38" t="s">
        <v>59</v>
      </c>
      <c r="D41" s="38"/>
      <c r="E41" s="38"/>
      <c r="F41" s="38"/>
      <c r="G41" s="39" t="n">
        <v>1.2</v>
      </c>
      <c r="H41" s="40" t="n">
        <f aca="false">ROUND(IF($D$40="SIM",(1*(DIAS_TRABALHADOS))*(((SALARIO_BASE+PERICULOSIDADE)/220)*$G$41),0),2)</f>
        <v>0</v>
      </c>
    </row>
    <row r="42" customFormat="false" ht="15.75" hidden="false" customHeight="true" outlineLevel="0" collapsed="false">
      <c r="B42" s="41" t="s">
        <v>45</v>
      </c>
      <c r="C42" s="15" t="s">
        <v>60</v>
      </c>
      <c r="D42" s="15"/>
      <c r="E42" s="15"/>
      <c r="F42" s="15"/>
      <c r="G42" s="43" t="n">
        <v>0</v>
      </c>
      <c r="H42" s="44" t="n">
        <f aca="false">SALARIO_BASE*G42</f>
        <v>0</v>
      </c>
    </row>
    <row r="43" customFormat="false" ht="15.75" hidden="false" customHeight="true" outlineLevel="0" collapsed="false">
      <c r="B43" s="48" t="s">
        <v>61</v>
      </c>
      <c r="C43" s="48"/>
      <c r="D43" s="48"/>
      <c r="E43" s="48"/>
      <c r="F43" s="48"/>
      <c r="G43" s="48"/>
      <c r="H43" s="49" t="n">
        <f aca="false">SUM($H$37:$H$42)</f>
        <v>3880</v>
      </c>
    </row>
    <row r="44" customFormat="false" ht="15.75" hidden="false" customHeight="true" outlineLevel="0" collapsed="false">
      <c r="H44" s="1"/>
    </row>
    <row r="45" customFormat="false" ht="15.75" hidden="false" customHeight="true" outlineLevel="0" collapsed="false">
      <c r="B45" s="32" t="s">
        <v>62</v>
      </c>
      <c r="C45" s="32"/>
      <c r="D45" s="32"/>
      <c r="E45" s="32"/>
      <c r="F45" s="32"/>
      <c r="G45" s="32"/>
      <c r="H45" s="32"/>
    </row>
    <row r="46" customFormat="false" ht="15.75" hidden="false" customHeight="true" outlineLevel="0" collapsed="false">
      <c r="B46" s="3" t="s">
        <v>63</v>
      </c>
      <c r="C46" s="3"/>
      <c r="D46" s="3"/>
      <c r="E46" s="3"/>
      <c r="F46" s="3"/>
      <c r="G46" s="3"/>
      <c r="H46" s="3"/>
    </row>
    <row r="47" customFormat="false" ht="15.75" hidden="false" customHeight="true" outlineLevel="0" collapsed="false">
      <c r="B47" s="50" t="n">
        <v>44198</v>
      </c>
      <c r="C47" s="34" t="s">
        <v>51</v>
      </c>
      <c r="D47" s="34"/>
      <c r="E47" s="34"/>
      <c r="F47" s="34"/>
      <c r="G47" s="35" t="s">
        <v>52</v>
      </c>
      <c r="H47" s="36" t="s">
        <v>53</v>
      </c>
    </row>
    <row r="48" customFormat="false" ht="15.75" hidden="false" customHeight="true" outlineLevel="0" collapsed="false">
      <c r="B48" s="37" t="s">
        <v>17</v>
      </c>
      <c r="C48" s="38" t="s">
        <v>64</v>
      </c>
      <c r="D48" s="38"/>
      <c r="E48" s="38"/>
      <c r="F48" s="38"/>
      <c r="G48" s="39" t="n">
        <v>0</v>
      </c>
      <c r="H48" s="40" t="n">
        <v>0</v>
      </c>
    </row>
    <row r="49" customFormat="false" ht="15.75" hidden="false" customHeight="true" outlineLevel="0" collapsed="false">
      <c r="B49" s="41" t="s">
        <v>19</v>
      </c>
      <c r="C49" s="15" t="s">
        <v>65</v>
      </c>
      <c r="D49" s="15"/>
      <c r="E49" s="15"/>
      <c r="F49" s="15"/>
      <c r="G49" s="43" t="n">
        <v>0</v>
      </c>
      <c r="H49" s="44" t="n">
        <v>0</v>
      </c>
    </row>
    <row r="50" customFormat="false" ht="15.75" hidden="false" customHeight="true" outlineLevel="0" collapsed="false">
      <c r="B50" s="33" t="s">
        <v>66</v>
      </c>
      <c r="C50" s="33"/>
      <c r="D50" s="33"/>
      <c r="E50" s="33"/>
      <c r="F50" s="33"/>
      <c r="G50" s="51" t="n">
        <f aca="false">SUM($G$48:$G$49)</f>
        <v>0</v>
      </c>
      <c r="H50" s="52" t="n">
        <f aca="false">SUM($H$48:$H$49)</f>
        <v>0</v>
      </c>
    </row>
    <row r="51" customFormat="false" ht="15.75" hidden="false" customHeight="true" outlineLevel="0" collapsed="false">
      <c r="H51" s="1"/>
    </row>
    <row r="52" customFormat="false" ht="15.75" hidden="false" customHeight="true" outlineLevel="0" collapsed="false">
      <c r="B52" s="3" t="s">
        <v>67</v>
      </c>
      <c r="C52" s="3"/>
      <c r="D52" s="3"/>
      <c r="E52" s="3"/>
      <c r="F52" s="3"/>
      <c r="G52" s="3"/>
      <c r="H52" s="3"/>
    </row>
    <row r="53" customFormat="false" ht="15.75" hidden="false" customHeight="true" outlineLevel="0" collapsed="false">
      <c r="B53" s="50" t="n">
        <v>44229</v>
      </c>
      <c r="C53" s="34" t="s">
        <v>51</v>
      </c>
      <c r="D53" s="34"/>
      <c r="E53" s="34"/>
      <c r="F53" s="34"/>
      <c r="G53" s="35" t="s">
        <v>52</v>
      </c>
      <c r="H53" s="36" t="s">
        <v>53</v>
      </c>
    </row>
    <row r="54" customFormat="false" ht="15" hidden="false" customHeight="false" outlineLevel="0" collapsed="false">
      <c r="A54" s="30"/>
      <c r="B54" s="53" t="s">
        <v>17</v>
      </c>
      <c r="C54" s="54" t="s">
        <v>68</v>
      </c>
      <c r="D54" s="55" t="s">
        <v>69</v>
      </c>
      <c r="E54" s="56" t="s">
        <v>56</v>
      </c>
      <c r="F54" s="54"/>
      <c r="G54" s="57" t="n">
        <v>0</v>
      </c>
      <c r="H54" s="58" t="n">
        <v>0</v>
      </c>
    </row>
    <row r="55" customFormat="false" ht="15.75" hidden="false" customHeight="true" outlineLevel="0" collapsed="false">
      <c r="B55" s="41" t="s">
        <v>19</v>
      </c>
      <c r="C55" s="15" t="s">
        <v>70</v>
      </c>
      <c r="D55" s="15"/>
      <c r="E55" s="15"/>
      <c r="F55" s="15"/>
      <c r="G55" s="43" t="n">
        <v>0</v>
      </c>
      <c r="H55" s="44" t="n">
        <f aca="false">ROUND((MODULO_1+MODULO_2.1)*$G$55,2)</f>
        <v>0</v>
      </c>
    </row>
    <row r="56" customFormat="false" ht="15.75" hidden="false" customHeight="true" outlineLevel="0" collapsed="false">
      <c r="B56" s="59" t="s">
        <v>22</v>
      </c>
      <c r="C56" s="60" t="s">
        <v>71</v>
      </c>
      <c r="D56" s="61" t="s">
        <v>72</v>
      </c>
      <c r="E56" s="61"/>
      <c r="F56" s="61"/>
      <c r="G56" s="62" t="n">
        <v>0</v>
      </c>
      <c r="H56" s="63" t="n">
        <f aca="false">ROUND((MODULO_1+MODULO_2.1)*$G$56,2)</f>
        <v>0</v>
      </c>
    </row>
    <row r="57" customFormat="false" ht="15.75" hidden="false" customHeight="true" outlineLevel="0" collapsed="false">
      <c r="B57" s="59"/>
      <c r="C57" s="59"/>
      <c r="D57" s="64" t="s">
        <v>73</v>
      </c>
      <c r="E57" s="65" t="s">
        <v>74</v>
      </c>
      <c r="F57" s="66" t="n">
        <v>1</v>
      </c>
      <c r="G57" s="62"/>
      <c r="H57" s="62"/>
    </row>
    <row r="58" customFormat="false" ht="15.75" hidden="false" customHeight="true" outlineLevel="0" collapsed="false">
      <c r="B58" s="41" t="s">
        <v>25</v>
      </c>
      <c r="C58" s="15" t="s">
        <v>75</v>
      </c>
      <c r="D58" s="15"/>
      <c r="E58" s="15"/>
      <c r="F58" s="15"/>
      <c r="G58" s="43" t="n">
        <v>0</v>
      </c>
      <c r="H58" s="44" t="n">
        <f aca="false">ROUND((MODULO_1+MODULO_2.1)*$G$58,2)</f>
        <v>0</v>
      </c>
    </row>
    <row r="59" customFormat="false" ht="15.75" hidden="false" customHeight="true" outlineLevel="0" collapsed="false">
      <c r="B59" s="37" t="s">
        <v>43</v>
      </c>
      <c r="C59" s="38" t="s">
        <v>76</v>
      </c>
      <c r="D59" s="38"/>
      <c r="E59" s="38"/>
      <c r="F59" s="38"/>
      <c r="G59" s="39" t="n">
        <v>0</v>
      </c>
      <c r="H59" s="40" t="n">
        <f aca="false">ROUND((MODULO_1+MODULO_2.1)*$G$59,2)</f>
        <v>0</v>
      </c>
    </row>
    <row r="60" customFormat="false" ht="15.75" hidden="false" customHeight="true" outlineLevel="0" collapsed="false">
      <c r="B60" s="41" t="s">
        <v>45</v>
      </c>
      <c r="C60" s="15" t="s">
        <v>77</v>
      </c>
      <c r="D60" s="15"/>
      <c r="E60" s="15"/>
      <c r="F60" s="15"/>
      <c r="G60" s="43" t="n">
        <v>0</v>
      </c>
      <c r="H60" s="44" t="n">
        <f aca="false">ROUND((MODULO_1+MODULO_2.1)*$G$60,2)</f>
        <v>0</v>
      </c>
    </row>
    <row r="61" customFormat="false" ht="15.75" hidden="false" customHeight="true" outlineLevel="0" collapsed="false">
      <c r="B61" s="37" t="s">
        <v>47</v>
      </c>
      <c r="C61" s="38" t="s">
        <v>78</v>
      </c>
      <c r="D61" s="38"/>
      <c r="E61" s="38"/>
      <c r="F61" s="38"/>
      <c r="G61" s="39" t="n">
        <v>0</v>
      </c>
      <c r="H61" s="40" t="n">
        <f aca="false">ROUND((MODULO_1+MODULO_2.1)*$G$61,2)</f>
        <v>0</v>
      </c>
    </row>
    <row r="62" customFormat="false" ht="15.75" hidden="false" customHeight="true" outlineLevel="0" collapsed="false">
      <c r="B62" s="41" t="s">
        <v>79</v>
      </c>
      <c r="C62" s="15" t="s">
        <v>80</v>
      </c>
      <c r="D62" s="15"/>
      <c r="E62" s="15"/>
      <c r="F62" s="15"/>
      <c r="G62" s="43" t="n">
        <v>0</v>
      </c>
      <c r="H62" s="44" t="n">
        <f aca="false">ROUND((MODULO_1+MODULO_2.1)*$G$62,2)</f>
        <v>0</v>
      </c>
    </row>
    <row r="63" customFormat="false" ht="15.75" hidden="false" customHeight="true" outlineLevel="0" collapsed="false">
      <c r="B63" s="33" t="s">
        <v>66</v>
      </c>
      <c r="C63" s="33"/>
      <c r="D63" s="33"/>
      <c r="E63" s="33"/>
      <c r="F63" s="33"/>
      <c r="G63" s="51" t="n">
        <f aca="false">SUM($G$54:$G$62)</f>
        <v>0</v>
      </c>
      <c r="H63" s="52" t="n">
        <f aca="false">SUM(H54:H62)</f>
        <v>0</v>
      </c>
    </row>
    <row r="64" customFormat="false" ht="15.75" hidden="false" customHeight="true" outlineLevel="0" collapsed="false">
      <c r="H64" s="1"/>
    </row>
    <row r="65" customFormat="false" ht="15.75" hidden="false" customHeight="true" outlineLevel="0" collapsed="false">
      <c r="B65" s="3" t="s">
        <v>81</v>
      </c>
      <c r="C65" s="3"/>
      <c r="D65" s="3"/>
      <c r="E65" s="3"/>
      <c r="F65" s="3"/>
      <c r="G65" s="3"/>
      <c r="H65" s="3"/>
    </row>
    <row r="66" customFormat="false" ht="15.75" hidden="false" customHeight="true" outlineLevel="0" collapsed="false">
      <c r="B66" s="50" t="n">
        <v>44257</v>
      </c>
      <c r="C66" s="34" t="s">
        <v>51</v>
      </c>
      <c r="D66" s="34"/>
      <c r="E66" s="34"/>
      <c r="F66" s="34"/>
      <c r="G66" s="35" t="s">
        <v>82</v>
      </c>
      <c r="H66" s="36" t="s">
        <v>83</v>
      </c>
    </row>
    <row r="67" customFormat="false" ht="15.75" hidden="false" customHeight="true" outlineLevel="0" collapsed="false">
      <c r="B67" s="59" t="s">
        <v>17</v>
      </c>
      <c r="C67" s="45" t="s">
        <v>84</v>
      </c>
      <c r="D67" s="67" t="s">
        <v>85</v>
      </c>
      <c r="E67" s="67"/>
      <c r="F67" s="67"/>
      <c r="G67" s="68" t="n">
        <v>0</v>
      </c>
      <c r="H67" s="40" t="n">
        <f aca="false">ROUND(DIAS_TRABALHADOS*$G$67*2,2)</f>
        <v>0</v>
      </c>
    </row>
    <row r="68" customFormat="false" ht="15.75" hidden="false" customHeight="true" outlineLevel="0" collapsed="false">
      <c r="B68" s="59"/>
      <c r="C68" s="38" t="s">
        <v>86</v>
      </c>
      <c r="D68" s="38"/>
      <c r="E68" s="38"/>
      <c r="F68" s="38"/>
      <c r="G68" s="69" t="n">
        <v>0</v>
      </c>
      <c r="H68" s="40" t="n">
        <f aca="false">IF(ROUND((SALARIO_BASE*$G$68),2)&gt;H67,-H67,-ROUND((SALARIO_BASE*$G$68),2))</f>
        <v>-0</v>
      </c>
    </row>
    <row r="69" customFormat="false" ht="15.75" hidden="false" customHeight="true" outlineLevel="0" collapsed="false">
      <c r="B69" s="41" t="s">
        <v>19</v>
      </c>
      <c r="C69" s="15" t="s">
        <v>87</v>
      </c>
      <c r="D69" s="70" t="s">
        <v>85</v>
      </c>
      <c r="E69" s="70"/>
      <c r="F69" s="70"/>
      <c r="G69" s="71" t="n">
        <v>0</v>
      </c>
      <c r="H69" s="44" t="n">
        <f aca="false">ROUND(DIAS_TRABALHADOS*$G$69,2)</f>
        <v>0</v>
      </c>
    </row>
    <row r="70" customFormat="false" ht="15.75" hidden="false" customHeight="true" outlineLevel="0" collapsed="false">
      <c r="B70" s="41"/>
      <c r="C70" s="15" t="s">
        <v>88</v>
      </c>
      <c r="D70" s="15"/>
      <c r="E70" s="15"/>
      <c r="F70" s="15"/>
      <c r="G70" s="72" t="n">
        <v>0</v>
      </c>
      <c r="H70" s="44" t="n">
        <f aca="false">-H69*G70</f>
        <v>-0</v>
      </c>
    </row>
    <row r="71" customFormat="false" ht="15.75" hidden="false" customHeight="true" outlineLevel="0" collapsed="false">
      <c r="B71" s="37" t="s">
        <v>22</v>
      </c>
      <c r="C71" s="38" t="s">
        <v>89</v>
      </c>
      <c r="D71" s="38"/>
      <c r="E71" s="38"/>
      <c r="F71" s="38"/>
      <c r="G71" s="73" t="s">
        <v>90</v>
      </c>
      <c r="H71" s="40" t="n">
        <v>0</v>
      </c>
    </row>
    <row r="72" customFormat="false" ht="15.75" hidden="false" customHeight="true" outlineLevel="0" collapsed="false">
      <c r="B72" s="41" t="s">
        <v>25</v>
      </c>
      <c r="C72" s="15" t="s">
        <v>91</v>
      </c>
      <c r="D72" s="15"/>
      <c r="E72" s="15"/>
      <c r="F72" s="15"/>
      <c r="G72" s="14" t="s">
        <v>90</v>
      </c>
      <c r="H72" s="44" t="n">
        <v>0</v>
      </c>
    </row>
    <row r="73" customFormat="false" ht="15.75" hidden="false" customHeight="true" outlineLevel="0" collapsed="false">
      <c r="B73" s="37" t="s">
        <v>43</v>
      </c>
      <c r="C73" s="38" t="s">
        <v>92</v>
      </c>
      <c r="D73" s="38"/>
      <c r="E73" s="38"/>
      <c r="F73" s="38"/>
      <c r="G73" s="73" t="s">
        <v>90</v>
      </c>
      <c r="H73" s="40" t="n">
        <v>0</v>
      </c>
    </row>
    <row r="74" customFormat="false" ht="15.75" hidden="false" customHeight="true" outlineLevel="0" collapsed="false">
      <c r="B74" s="41" t="s">
        <v>45</v>
      </c>
      <c r="C74" s="15" t="s">
        <v>60</v>
      </c>
      <c r="D74" s="15"/>
      <c r="E74" s="15"/>
      <c r="F74" s="15"/>
      <c r="G74" s="14" t="s">
        <v>90</v>
      </c>
      <c r="H74" s="44" t="n">
        <v>0</v>
      </c>
    </row>
    <row r="75" customFormat="false" ht="15.75" hidden="false" customHeight="true" outlineLevel="0" collapsed="false">
      <c r="B75" s="37" t="s">
        <v>47</v>
      </c>
      <c r="C75" s="38" t="s">
        <v>60</v>
      </c>
      <c r="D75" s="38"/>
      <c r="E75" s="38"/>
      <c r="F75" s="38"/>
      <c r="G75" s="73" t="s">
        <v>90</v>
      </c>
      <c r="H75" s="40" t="n">
        <v>0</v>
      </c>
    </row>
    <row r="76" customFormat="false" ht="15.75" hidden="false" customHeight="true" outlineLevel="0" collapsed="false">
      <c r="B76" s="33" t="s">
        <v>66</v>
      </c>
      <c r="C76" s="33"/>
      <c r="D76" s="33"/>
      <c r="E76" s="33"/>
      <c r="F76" s="33"/>
      <c r="G76" s="33"/>
      <c r="H76" s="52" t="n">
        <f aca="false">SUM($H$67:$H$75)</f>
        <v>0</v>
      </c>
    </row>
    <row r="77" customFormat="false" ht="15.75" hidden="false" customHeight="true" outlineLevel="0" collapsed="false">
      <c r="H77" s="1"/>
    </row>
    <row r="78" customFormat="false" ht="15.75" hidden="false" customHeight="true" outlineLevel="0" collapsed="false">
      <c r="B78" s="3" t="s">
        <v>93</v>
      </c>
      <c r="C78" s="3"/>
      <c r="D78" s="3"/>
      <c r="E78" s="3"/>
      <c r="F78" s="3"/>
      <c r="G78" s="3"/>
      <c r="H78" s="3"/>
    </row>
    <row r="79" customFormat="false" ht="15.75" hidden="false" customHeight="true" outlineLevel="0" collapsed="false">
      <c r="B79" s="50" t="n">
        <v>44653</v>
      </c>
      <c r="C79" s="34" t="s">
        <v>51</v>
      </c>
      <c r="D79" s="34"/>
      <c r="E79" s="34"/>
      <c r="F79" s="34"/>
      <c r="G79" s="35"/>
      <c r="H79" s="36" t="s">
        <v>83</v>
      </c>
    </row>
    <row r="80" customFormat="false" ht="15.75" hidden="false" customHeight="true" outlineLevel="0" collapsed="false">
      <c r="B80" s="37" t="s">
        <v>17</v>
      </c>
      <c r="C80" s="38" t="s">
        <v>94</v>
      </c>
      <c r="D80" s="38"/>
      <c r="E80" s="38"/>
      <c r="F80" s="38"/>
      <c r="G80" s="74" t="n">
        <v>0</v>
      </c>
      <c r="H80" s="40" t="n">
        <f aca="false">(MODULO_1/220)*1.5*DIAS_TRABALHADOS*0.5*G80</f>
        <v>0</v>
      </c>
    </row>
    <row r="81" customFormat="false" ht="15.75" hidden="false" customHeight="true" outlineLevel="0" collapsed="false">
      <c r="B81" s="33" t="s">
        <v>66</v>
      </c>
      <c r="C81" s="33"/>
      <c r="D81" s="33"/>
      <c r="E81" s="33"/>
      <c r="F81" s="33"/>
      <c r="G81" s="33"/>
      <c r="H81" s="52" t="n">
        <f aca="false">H80</f>
        <v>0</v>
      </c>
    </row>
    <row r="82" customFormat="false" ht="15.75" hidden="false" customHeight="true" outlineLevel="0" collapsed="false">
      <c r="H82" s="1"/>
    </row>
    <row r="83" customFormat="false" ht="15.75" hidden="false" customHeight="true" outlineLevel="0" collapsed="false">
      <c r="B83" s="3" t="s">
        <v>95</v>
      </c>
      <c r="C83" s="3"/>
      <c r="D83" s="3"/>
      <c r="E83" s="3"/>
      <c r="F83" s="3"/>
      <c r="G83" s="3"/>
      <c r="H83" s="3"/>
    </row>
    <row r="84" customFormat="false" ht="15.75" hidden="false" customHeight="true" outlineLevel="0" collapsed="false">
      <c r="B84" s="33" t="n">
        <v>2</v>
      </c>
      <c r="C84" s="34" t="s">
        <v>51</v>
      </c>
      <c r="D84" s="34"/>
      <c r="E84" s="34"/>
      <c r="F84" s="34"/>
      <c r="G84" s="34"/>
      <c r="H84" s="36" t="s">
        <v>53</v>
      </c>
    </row>
    <row r="85" customFormat="false" ht="15.75" hidden="false" customHeight="true" outlineLevel="0" collapsed="false">
      <c r="B85" s="75" t="n">
        <v>44198</v>
      </c>
      <c r="C85" s="76" t="s">
        <v>96</v>
      </c>
      <c r="D85" s="76"/>
      <c r="E85" s="76"/>
      <c r="F85" s="76"/>
      <c r="G85" s="76"/>
      <c r="H85" s="77" t="n">
        <f aca="false">MODULO_2.1</f>
        <v>0</v>
      </c>
    </row>
    <row r="86" customFormat="false" ht="15.75" hidden="false" customHeight="true" outlineLevel="0" collapsed="false">
      <c r="B86" s="78" t="n">
        <v>44229</v>
      </c>
      <c r="C86" s="79" t="s">
        <v>97</v>
      </c>
      <c r="D86" s="79"/>
      <c r="E86" s="79"/>
      <c r="F86" s="79"/>
      <c r="G86" s="79"/>
      <c r="H86" s="80" t="n">
        <f aca="false">MODULO_2.2</f>
        <v>0</v>
      </c>
    </row>
    <row r="87" customFormat="false" ht="15.75" hidden="false" customHeight="true" outlineLevel="0" collapsed="false">
      <c r="B87" s="75" t="n">
        <v>44257</v>
      </c>
      <c r="C87" s="76" t="s">
        <v>98</v>
      </c>
      <c r="D87" s="76"/>
      <c r="E87" s="76"/>
      <c r="F87" s="76"/>
      <c r="G87" s="76"/>
      <c r="H87" s="77" t="n">
        <f aca="false">MODULO_2.3</f>
        <v>0</v>
      </c>
    </row>
    <row r="88" customFormat="false" ht="15.75" hidden="false" customHeight="true" outlineLevel="0" collapsed="false">
      <c r="B88" s="78" t="n">
        <v>44653</v>
      </c>
      <c r="C88" s="79" t="s">
        <v>99</v>
      </c>
      <c r="D88" s="79"/>
      <c r="E88" s="79"/>
      <c r="F88" s="79"/>
      <c r="G88" s="79"/>
      <c r="H88" s="80" t="n">
        <f aca="false">MODULO_2.4</f>
        <v>0</v>
      </c>
    </row>
    <row r="89" customFormat="false" ht="15.75" hidden="false" customHeight="true" outlineLevel="0" collapsed="false">
      <c r="B89" s="48" t="s">
        <v>100</v>
      </c>
      <c r="C89" s="48"/>
      <c r="D89" s="48"/>
      <c r="E89" s="48"/>
      <c r="F89" s="48"/>
      <c r="G89" s="48"/>
      <c r="H89" s="49" t="n">
        <f aca="false">SUM($H$85:$H$88)</f>
        <v>0</v>
      </c>
    </row>
    <row r="90" customFormat="false" ht="15.75" hidden="false" customHeight="true" outlineLevel="0" collapsed="false">
      <c r="H90" s="1"/>
    </row>
    <row r="91" customFormat="false" ht="15.75" hidden="false" customHeight="true" outlineLevel="0" collapsed="false">
      <c r="B91" s="32" t="s">
        <v>101</v>
      </c>
      <c r="C91" s="32"/>
      <c r="D91" s="32"/>
      <c r="E91" s="32"/>
      <c r="F91" s="32"/>
      <c r="G91" s="32"/>
      <c r="H91" s="32"/>
    </row>
    <row r="92" customFormat="false" ht="15.75" hidden="false" customHeight="true" outlineLevel="0" collapsed="false">
      <c r="B92" s="33" t="n">
        <v>3</v>
      </c>
      <c r="C92" s="34" t="s">
        <v>51</v>
      </c>
      <c r="D92" s="34"/>
      <c r="E92" s="34"/>
      <c r="F92" s="34"/>
      <c r="G92" s="35" t="s">
        <v>52</v>
      </c>
      <c r="H92" s="36" t="s">
        <v>53</v>
      </c>
    </row>
    <row r="93" customFormat="false" ht="15.75" hidden="false" customHeight="true" outlineLevel="0" collapsed="false">
      <c r="B93" s="37" t="s">
        <v>17</v>
      </c>
      <c r="C93" s="76" t="s">
        <v>102</v>
      </c>
      <c r="D93" s="76"/>
      <c r="E93" s="76"/>
      <c r="F93" s="76"/>
      <c r="G93" s="39" t="n">
        <v>0</v>
      </c>
      <c r="H93" s="40" t="n">
        <f aca="false">ROUND(MODULO_1*$G$93,2)</f>
        <v>0</v>
      </c>
    </row>
    <row r="94" customFormat="false" ht="15.75" hidden="false" customHeight="true" outlineLevel="0" collapsed="false">
      <c r="B94" s="41" t="s">
        <v>19</v>
      </c>
      <c r="C94" s="15" t="s">
        <v>103</v>
      </c>
      <c r="D94" s="15"/>
      <c r="E94" s="15"/>
      <c r="F94" s="15"/>
      <c r="G94" s="43" t="n">
        <f aca="false">$G$62*$G$93</f>
        <v>0</v>
      </c>
      <c r="H94" s="44" t="n">
        <f aca="false">ROUND(MODULO_1*$G$94,2)</f>
        <v>0</v>
      </c>
    </row>
    <row r="95" customFormat="false" ht="15.75" hidden="false" customHeight="true" outlineLevel="0" collapsed="false">
      <c r="B95" s="37" t="s">
        <v>22</v>
      </c>
      <c r="C95" s="38" t="s">
        <v>104</v>
      </c>
      <c r="D95" s="38"/>
      <c r="E95" s="38"/>
      <c r="F95" s="38"/>
      <c r="G95" s="39" t="n">
        <v>0</v>
      </c>
      <c r="H95" s="40" t="n">
        <f aca="false">ROUND(MODULO_1*$G$95,2)</f>
        <v>0</v>
      </c>
    </row>
    <row r="96" customFormat="false" ht="15.75" hidden="false" customHeight="true" outlineLevel="0" collapsed="false">
      <c r="B96" s="41" t="s">
        <v>25</v>
      </c>
      <c r="C96" s="79" t="s">
        <v>105</v>
      </c>
      <c r="D96" s="79"/>
      <c r="E96" s="79"/>
      <c r="F96" s="79"/>
      <c r="G96" s="43" t="n">
        <v>0</v>
      </c>
      <c r="H96" s="44" t="n">
        <f aca="false">ROUND(MODULO_1*$G$96,2)</f>
        <v>0</v>
      </c>
    </row>
    <row r="97" customFormat="false" ht="15.75" hidden="false" customHeight="true" outlineLevel="0" collapsed="false">
      <c r="B97" s="37" t="s">
        <v>43</v>
      </c>
      <c r="C97" s="38" t="s">
        <v>106</v>
      </c>
      <c r="D97" s="38"/>
      <c r="E97" s="38"/>
      <c r="F97" s="38"/>
      <c r="G97" s="39" t="n">
        <f aca="false">$G$96*$G$63</f>
        <v>0</v>
      </c>
      <c r="H97" s="40" t="n">
        <f aca="false">ROUND(MODULO_1*$G$97,2)</f>
        <v>0</v>
      </c>
    </row>
    <row r="98" customFormat="false" ht="15.75" hidden="false" customHeight="true" outlineLevel="0" collapsed="false">
      <c r="B98" s="41" t="s">
        <v>45</v>
      </c>
      <c r="C98" s="15" t="s">
        <v>107</v>
      </c>
      <c r="D98" s="15"/>
      <c r="E98" s="15"/>
      <c r="F98" s="15"/>
      <c r="G98" s="81" t="n">
        <v>0</v>
      </c>
      <c r="H98" s="44" t="n">
        <f aca="false">ROUND(MODULO_1*$G$98,2)</f>
        <v>0</v>
      </c>
    </row>
    <row r="99" customFormat="false" ht="15.75" hidden="false" customHeight="true" outlineLevel="0" collapsed="false">
      <c r="B99" s="48" t="s">
        <v>100</v>
      </c>
      <c r="C99" s="48"/>
      <c r="D99" s="48"/>
      <c r="E99" s="48"/>
      <c r="F99" s="48"/>
      <c r="G99" s="82" t="n">
        <f aca="false">SUM(G93:G98)</f>
        <v>0</v>
      </c>
      <c r="H99" s="49" t="n">
        <f aca="false">SUM($H$93:$H$98)</f>
        <v>0</v>
      </c>
    </row>
    <row r="100" customFormat="false" ht="15.75" hidden="false" customHeight="true" outlineLevel="0" collapsed="false">
      <c r="H100" s="1"/>
    </row>
    <row r="101" customFormat="false" ht="15.75" hidden="false" customHeight="true" outlineLevel="0" collapsed="false">
      <c r="B101" s="32" t="s">
        <v>108</v>
      </c>
      <c r="C101" s="32"/>
      <c r="D101" s="32"/>
      <c r="E101" s="32"/>
      <c r="F101" s="32"/>
      <c r="G101" s="32"/>
      <c r="H101" s="32"/>
    </row>
    <row r="102" customFormat="false" ht="15.75" hidden="false" customHeight="true" outlineLevel="0" collapsed="false">
      <c r="B102" s="3" t="s">
        <v>109</v>
      </c>
      <c r="C102" s="3"/>
      <c r="D102" s="3"/>
      <c r="E102" s="3"/>
      <c r="F102" s="3"/>
      <c r="G102" s="3"/>
      <c r="H102" s="3"/>
    </row>
    <row r="103" customFormat="false" ht="15.75" hidden="false" customHeight="true" outlineLevel="0" collapsed="false">
      <c r="B103" s="50" t="n">
        <v>44200</v>
      </c>
      <c r="C103" s="34" t="s">
        <v>51</v>
      </c>
      <c r="D103" s="34"/>
      <c r="E103" s="34"/>
      <c r="F103" s="34"/>
      <c r="G103" s="35" t="s">
        <v>52</v>
      </c>
      <c r="H103" s="36" t="s">
        <v>53</v>
      </c>
    </row>
    <row r="104" customFormat="false" ht="15.75" hidden="false" customHeight="true" outlineLevel="0" collapsed="false">
      <c r="B104" s="37" t="s">
        <v>17</v>
      </c>
      <c r="C104" s="76" t="s">
        <v>110</v>
      </c>
      <c r="D104" s="76"/>
      <c r="E104" s="76"/>
      <c r="F104" s="76"/>
      <c r="G104" s="83" t="n">
        <v>0</v>
      </c>
      <c r="H104" s="40" t="n">
        <f aca="false">(MODULO_1+MODULO_2+MODULO_3)*G104</f>
        <v>0</v>
      </c>
    </row>
    <row r="105" customFormat="false" ht="15.75" hidden="false" customHeight="true" outlineLevel="0" collapsed="false">
      <c r="B105" s="41" t="s">
        <v>19</v>
      </c>
      <c r="C105" s="15" t="s">
        <v>111</v>
      </c>
      <c r="D105" s="15"/>
      <c r="E105" s="15"/>
      <c r="F105" s="15"/>
      <c r="G105" s="43" t="n">
        <v>0</v>
      </c>
      <c r="H105" s="44" t="n">
        <f aca="false">(MODULO_1+MODULO_2+MODULO_3)*G105</f>
        <v>0</v>
      </c>
    </row>
    <row r="106" customFormat="false" ht="15.75" hidden="false" customHeight="true" outlineLevel="0" collapsed="false">
      <c r="B106" s="37" t="s">
        <v>22</v>
      </c>
      <c r="C106" s="38" t="s">
        <v>112</v>
      </c>
      <c r="D106" s="38"/>
      <c r="E106" s="38"/>
      <c r="F106" s="38"/>
      <c r="G106" s="39" t="n">
        <v>0</v>
      </c>
      <c r="H106" s="40" t="n">
        <f aca="false">(MODULO_1+MODULO_2+MODULO_3)*G106</f>
        <v>0</v>
      </c>
    </row>
    <row r="107" customFormat="false" ht="15.75" hidden="false" customHeight="true" outlineLevel="0" collapsed="false">
      <c r="B107" s="41" t="s">
        <v>25</v>
      </c>
      <c r="C107" s="79" t="s">
        <v>113</v>
      </c>
      <c r="D107" s="79"/>
      <c r="E107" s="79"/>
      <c r="F107" s="79"/>
      <c r="G107" s="43" t="n">
        <v>0</v>
      </c>
      <c r="H107" s="44" t="n">
        <f aca="false">(MODULO_1+MODULO_2+MODULO_3)*G107</f>
        <v>0</v>
      </c>
    </row>
    <row r="108" customFormat="false" ht="15.75" hidden="false" customHeight="true" outlineLevel="0" collapsed="false">
      <c r="B108" s="37" t="s">
        <v>43</v>
      </c>
      <c r="C108" s="38" t="s">
        <v>114</v>
      </c>
      <c r="D108" s="38"/>
      <c r="E108" s="38"/>
      <c r="F108" s="38"/>
      <c r="G108" s="39" t="n">
        <v>0</v>
      </c>
      <c r="H108" s="40" t="n">
        <f aca="false">(MODULO_1+MODULO_2+MODULO_3)*G108</f>
        <v>0</v>
      </c>
    </row>
    <row r="109" customFormat="false" ht="15.75" hidden="false" customHeight="true" outlineLevel="0" collapsed="false">
      <c r="B109" s="41" t="s">
        <v>45</v>
      </c>
      <c r="C109" s="15" t="s">
        <v>115</v>
      </c>
      <c r="D109" s="15"/>
      <c r="E109" s="15"/>
      <c r="F109" s="15"/>
      <c r="G109" s="43" t="n">
        <v>0</v>
      </c>
      <c r="H109" s="44" t="n">
        <f aca="false">(MODULO_1+MODULO_2+MODULO_3)*G109</f>
        <v>0</v>
      </c>
    </row>
    <row r="110" customFormat="false" ht="15.75" hidden="false" customHeight="true" outlineLevel="0" collapsed="false">
      <c r="B110" s="33" t="s">
        <v>66</v>
      </c>
      <c r="C110" s="33"/>
      <c r="D110" s="33"/>
      <c r="E110" s="33"/>
      <c r="F110" s="33"/>
      <c r="G110" s="51" t="n">
        <f aca="false">SUM($G$104:$G$109)</f>
        <v>0</v>
      </c>
      <c r="H110" s="52" t="n">
        <f aca="false">SUM($H$104:$H$109)</f>
        <v>0</v>
      </c>
    </row>
    <row r="111" customFormat="false" ht="15.75" hidden="false" customHeight="true" outlineLevel="0" collapsed="false">
      <c r="H111" s="1"/>
    </row>
    <row r="112" customFormat="false" ht="15.75" hidden="false" customHeight="true" outlineLevel="0" collapsed="false">
      <c r="B112" s="3" t="s">
        <v>116</v>
      </c>
      <c r="C112" s="3"/>
      <c r="D112" s="3"/>
      <c r="E112" s="3"/>
      <c r="F112" s="3"/>
      <c r="G112" s="3"/>
      <c r="H112" s="3"/>
    </row>
    <row r="113" customFormat="false" ht="15.75" hidden="false" customHeight="true" outlineLevel="0" collapsed="false">
      <c r="B113" s="50" t="n">
        <v>44231</v>
      </c>
      <c r="C113" s="34" t="s">
        <v>51</v>
      </c>
      <c r="D113" s="34"/>
      <c r="E113" s="34"/>
      <c r="F113" s="34"/>
      <c r="G113" s="35"/>
      <c r="H113" s="36" t="s">
        <v>53</v>
      </c>
    </row>
    <row r="114" customFormat="false" ht="15.75" hidden="false" customHeight="true" outlineLevel="0" collapsed="false">
      <c r="B114" s="37" t="s">
        <v>17</v>
      </c>
      <c r="C114" s="38" t="s">
        <v>117</v>
      </c>
      <c r="D114" s="38"/>
      <c r="E114" s="38"/>
      <c r="F114" s="38"/>
      <c r="G114" s="74" t="n">
        <v>0</v>
      </c>
      <c r="H114" s="40" t="n">
        <f aca="false">((MODULO_1+MODULO_2+MODULO_3)/220)*1*DIAS_TRABALHADOS*G114</f>
        <v>0</v>
      </c>
    </row>
    <row r="115" customFormat="false" ht="15.75" hidden="false" customHeight="true" outlineLevel="0" collapsed="false">
      <c r="B115" s="33" t="s">
        <v>66</v>
      </c>
      <c r="C115" s="33"/>
      <c r="D115" s="33"/>
      <c r="E115" s="33"/>
      <c r="F115" s="33"/>
      <c r="G115" s="84"/>
      <c r="H115" s="52" t="n">
        <f aca="false">SUM($H$114)</f>
        <v>0</v>
      </c>
    </row>
    <row r="116" customFormat="false" ht="15.75" hidden="false" customHeight="true" outlineLevel="0" collapsed="false">
      <c r="H116" s="1"/>
    </row>
    <row r="117" customFormat="false" ht="15.75" hidden="false" customHeight="true" outlineLevel="0" collapsed="false">
      <c r="B117" s="3" t="s">
        <v>118</v>
      </c>
      <c r="C117" s="3"/>
      <c r="D117" s="3"/>
      <c r="E117" s="3"/>
      <c r="F117" s="3"/>
      <c r="G117" s="3"/>
      <c r="H117" s="3"/>
    </row>
    <row r="118" customFormat="false" ht="15.75" hidden="false" customHeight="true" outlineLevel="0" collapsed="false">
      <c r="B118" s="33" t="n">
        <v>4</v>
      </c>
      <c r="C118" s="34" t="s">
        <v>51</v>
      </c>
      <c r="D118" s="34"/>
      <c r="E118" s="34"/>
      <c r="F118" s="34"/>
      <c r="G118" s="35" t="s">
        <v>52</v>
      </c>
      <c r="H118" s="36" t="s">
        <v>53</v>
      </c>
    </row>
    <row r="119" customFormat="false" ht="15.75" hidden="false" customHeight="true" outlineLevel="0" collapsed="false">
      <c r="B119" s="75" t="n">
        <v>44200</v>
      </c>
      <c r="C119" s="76" t="s">
        <v>119</v>
      </c>
      <c r="D119" s="76"/>
      <c r="E119" s="76"/>
      <c r="F119" s="76"/>
      <c r="G119" s="85" t="n">
        <v>0</v>
      </c>
      <c r="H119" s="77" t="n">
        <f aca="false">MODULO_4.1</f>
        <v>0</v>
      </c>
    </row>
    <row r="120" customFormat="false" ht="15.75" hidden="false" customHeight="true" outlineLevel="0" collapsed="false">
      <c r="B120" s="78" t="n">
        <v>44231</v>
      </c>
      <c r="C120" s="79" t="s">
        <v>120</v>
      </c>
      <c r="D120" s="79"/>
      <c r="E120" s="79"/>
      <c r="F120" s="79"/>
      <c r="G120" s="86" t="n">
        <f aca="false">$G$115</f>
        <v>0</v>
      </c>
      <c r="H120" s="80" t="n">
        <f aca="false">MODULO_4.2</f>
        <v>0</v>
      </c>
    </row>
    <row r="121" customFormat="false" ht="15.75" hidden="false" customHeight="true" outlineLevel="0" collapsed="false">
      <c r="B121" s="48" t="s">
        <v>121</v>
      </c>
      <c r="C121" s="48"/>
      <c r="D121" s="48"/>
      <c r="E121" s="48"/>
      <c r="F121" s="48"/>
      <c r="G121" s="48"/>
      <c r="H121" s="49" t="n">
        <f aca="false">SUM($H$119:$H$120)</f>
        <v>0</v>
      </c>
    </row>
    <row r="122" customFormat="false" ht="15.75" hidden="false" customHeight="true" outlineLevel="0" collapsed="false">
      <c r="H122" s="1"/>
    </row>
    <row r="123" customFormat="false" ht="15.75" hidden="false" customHeight="true" outlineLevel="0" collapsed="false">
      <c r="B123" s="32" t="s">
        <v>122</v>
      </c>
      <c r="C123" s="32"/>
      <c r="D123" s="32"/>
      <c r="E123" s="32"/>
      <c r="F123" s="32"/>
      <c r="G123" s="32"/>
      <c r="H123" s="32"/>
    </row>
    <row r="124" customFormat="false" ht="15.75" hidden="false" customHeight="true" outlineLevel="0" collapsed="false">
      <c r="B124" s="33" t="n">
        <v>5</v>
      </c>
      <c r="C124" s="34" t="s">
        <v>51</v>
      </c>
      <c r="D124" s="34"/>
      <c r="E124" s="34"/>
      <c r="F124" s="34"/>
      <c r="G124" s="34"/>
      <c r="H124" s="36" t="s">
        <v>83</v>
      </c>
    </row>
    <row r="125" customFormat="false" ht="15.75" hidden="false" customHeight="true" outlineLevel="0" collapsed="false">
      <c r="B125" s="37" t="s">
        <v>17</v>
      </c>
      <c r="C125" s="38" t="s">
        <v>123</v>
      </c>
      <c r="D125" s="38"/>
      <c r="E125" s="38"/>
      <c r="F125" s="38"/>
      <c r="G125" s="38"/>
      <c r="H125" s="87" t="n">
        <v>0</v>
      </c>
    </row>
    <row r="126" customFormat="false" ht="15.75" hidden="false" customHeight="true" outlineLevel="0" collapsed="false">
      <c r="B126" s="41" t="s">
        <v>19</v>
      </c>
      <c r="C126" s="15" t="s">
        <v>124</v>
      </c>
      <c r="D126" s="15"/>
      <c r="E126" s="15"/>
      <c r="F126" s="15"/>
      <c r="G126" s="15"/>
      <c r="H126" s="88" t="n">
        <v>0</v>
      </c>
    </row>
    <row r="127" customFormat="false" ht="15.75" hidden="false" customHeight="true" outlineLevel="0" collapsed="false">
      <c r="B127" s="37" t="s">
        <v>22</v>
      </c>
      <c r="C127" s="38" t="s">
        <v>125</v>
      </c>
      <c r="D127" s="38"/>
      <c r="E127" s="38"/>
      <c r="F127" s="38"/>
      <c r="G127" s="38"/>
      <c r="H127" s="87" t="n">
        <v>0</v>
      </c>
    </row>
    <row r="128" customFormat="false" ht="15.75" hidden="false" customHeight="true" outlineLevel="0" collapsed="false">
      <c r="B128" s="41" t="s">
        <v>25</v>
      </c>
      <c r="C128" s="15" t="s">
        <v>60</v>
      </c>
      <c r="D128" s="15"/>
      <c r="E128" s="15"/>
      <c r="F128" s="15"/>
      <c r="G128" s="15"/>
      <c r="H128" s="88" t="n">
        <v>0</v>
      </c>
    </row>
    <row r="129" customFormat="false" ht="15.75" hidden="false" customHeight="true" outlineLevel="0" collapsed="false">
      <c r="B129" s="37" t="s">
        <v>43</v>
      </c>
      <c r="C129" s="38" t="s">
        <v>60</v>
      </c>
      <c r="D129" s="38"/>
      <c r="E129" s="38"/>
      <c r="F129" s="38"/>
      <c r="G129" s="38"/>
      <c r="H129" s="87" t="n">
        <v>0</v>
      </c>
    </row>
    <row r="130" customFormat="false" ht="15.75" hidden="false" customHeight="true" outlineLevel="0" collapsed="false">
      <c r="B130" s="41" t="s">
        <v>45</v>
      </c>
      <c r="C130" s="15" t="s">
        <v>60</v>
      </c>
      <c r="D130" s="15"/>
      <c r="E130" s="15"/>
      <c r="F130" s="15"/>
      <c r="G130" s="15"/>
      <c r="H130" s="88" t="n">
        <v>0</v>
      </c>
    </row>
    <row r="131" customFormat="false" ht="15.75" hidden="false" customHeight="true" outlineLevel="0" collapsed="false">
      <c r="B131" s="48" t="s">
        <v>100</v>
      </c>
      <c r="C131" s="48"/>
      <c r="D131" s="48"/>
      <c r="E131" s="48"/>
      <c r="F131" s="48"/>
      <c r="G131" s="48"/>
      <c r="H131" s="49" t="n">
        <f aca="false">SUM($H$125:$H$130)</f>
        <v>0</v>
      </c>
    </row>
    <row r="132" customFormat="false" ht="15.75" hidden="false" customHeight="true" outlineLevel="0" collapsed="false">
      <c r="H132" s="1"/>
    </row>
    <row r="133" customFormat="false" ht="15.75" hidden="false" customHeight="true" outlineLevel="0" collapsed="false">
      <c r="A133" s="89"/>
      <c r="B133" s="3"/>
      <c r="C133" s="90" t="s">
        <v>126</v>
      </c>
      <c r="D133" s="90"/>
      <c r="E133" s="90"/>
      <c r="F133" s="90"/>
      <c r="G133" s="91" t="n">
        <f aca="false">SUM(G50,G63,G99,G110)</f>
        <v>0</v>
      </c>
      <c r="H133" s="3"/>
    </row>
    <row r="134" customFormat="false" ht="15.75" hidden="false" customHeight="true" outlineLevel="0" collapsed="false">
      <c r="H134" s="1"/>
    </row>
    <row r="135" customFormat="false" ht="15.75" hidden="false" customHeight="true" outlineLevel="0" collapsed="false">
      <c r="B135" s="92" t="s">
        <v>127</v>
      </c>
      <c r="C135" s="92"/>
      <c r="D135" s="92"/>
      <c r="E135" s="92"/>
      <c r="F135" s="92"/>
      <c r="G135" s="92"/>
      <c r="H135" s="92"/>
    </row>
    <row r="136" customFormat="false" ht="15.75" hidden="false" customHeight="true" outlineLevel="0" collapsed="false">
      <c r="B136" s="93" t="n">
        <v>6</v>
      </c>
      <c r="C136" s="94" t="s">
        <v>51</v>
      </c>
      <c r="D136" s="94"/>
      <c r="E136" s="94"/>
      <c r="F136" s="94"/>
      <c r="G136" s="95" t="s">
        <v>52</v>
      </c>
      <c r="H136" s="96" t="s">
        <v>53</v>
      </c>
    </row>
    <row r="137" customFormat="false" ht="15.75" hidden="false" customHeight="true" outlineLevel="0" collapsed="false">
      <c r="B137" s="97" t="s">
        <v>17</v>
      </c>
      <c r="C137" s="98" t="s">
        <v>128</v>
      </c>
      <c r="D137" s="98"/>
      <c r="E137" s="98"/>
      <c r="F137" s="98"/>
      <c r="G137" s="99" t="n">
        <v>0</v>
      </c>
      <c r="H137" s="58" t="n">
        <f aca="false">(MODULO_1+MODULO_2+MODULO_3+MODULO_4+MODULO_5)*G137</f>
        <v>0</v>
      </c>
    </row>
    <row r="138" customFormat="false" ht="15.75" hidden="false" customHeight="true" outlineLevel="0" collapsed="false">
      <c r="B138" s="100" t="s">
        <v>19</v>
      </c>
      <c r="C138" s="101" t="s">
        <v>129</v>
      </c>
      <c r="D138" s="101"/>
      <c r="E138" s="101"/>
      <c r="F138" s="101"/>
      <c r="G138" s="102" t="n">
        <v>0</v>
      </c>
      <c r="H138" s="103" t="n">
        <f aca="false">(MODULO_1+MODULO_2+MODULO_3+MODULO_4+MODULO_5+CUSTO_INDIRETO)*G138</f>
        <v>0</v>
      </c>
    </row>
    <row r="139" customFormat="false" ht="15.75" hidden="false" customHeight="true" outlineLevel="0" collapsed="false">
      <c r="A139" s="8"/>
      <c r="B139" s="97" t="s">
        <v>130</v>
      </c>
      <c r="C139" s="104" t="s">
        <v>131</v>
      </c>
      <c r="D139" s="98" t="s">
        <v>132</v>
      </c>
      <c r="E139" s="98"/>
      <c r="F139" s="56" t="s">
        <v>133</v>
      </c>
      <c r="G139" s="105" t="n">
        <v>0</v>
      </c>
      <c r="H139" s="106" t="n">
        <f aca="false">SUM($H$140:$H$142)</f>
        <v>0</v>
      </c>
    </row>
    <row r="140" customFormat="false" ht="31.5" hidden="false" customHeight="true" outlineLevel="0" collapsed="false">
      <c r="A140" s="30"/>
      <c r="B140" s="107" t="s">
        <v>134</v>
      </c>
      <c r="C140" s="26" t="s">
        <v>135</v>
      </c>
      <c r="D140" s="108" t="str">
        <f aca="false">ifs($F$139="LUCRO REAL","A licitante deve informar a alíquota ajustada conforme apuração do percentual médio de recolhimento, em consonância com a legislação fiscal vigente",$F$139="SIMPLES NACIONAL","A licitante DATA() informar a alíquota efetiva, conforme cálculo previsto na Lei Complementar 123/2006",$F$139="LUCRO PRESUMIDO","")</f>
        <v>A licitante deve informar a alíquota ajustada conforme apuração do percentual médio de recolhimento, em consonância com a legislação fiscal vigente</v>
      </c>
      <c r="E140" s="108"/>
      <c r="F140" s="108"/>
      <c r="G140" s="109" t="n">
        <v>0</v>
      </c>
      <c r="H140" s="103" t="n">
        <f aca="false">(MODULO_1+MODULO_2+MODULO_3+MODULO_4+MODULO_5+CUSTO_INDIRETO+LUCRO)/(1-($G$140+G141+$G$144))*$G$140</f>
        <v>0</v>
      </c>
    </row>
    <row r="141" customFormat="false" ht="31.5" hidden="false" customHeight="true" outlineLevel="0" collapsed="false">
      <c r="A141" s="30"/>
      <c r="B141" s="53" t="s">
        <v>136</v>
      </c>
      <c r="C141" s="54" t="s">
        <v>137</v>
      </c>
      <c r="D141" s="110" t="str">
        <f aca="false">ifs($F$139="LUCRO REAL","A licitante deve informar a alíquota ajustada conforme apuração do percentual médio de recolhimento, em consonância com a legislação fiscal vigente",$F$139="SIMPLES NACIONAL","A licitante deve informar a alíquota efetiva, conforme cálculo previsto na Lei Complementar 123/2006",$F$139="LUCRO PRESUMIDO","")</f>
        <v>A licitante deve informar a alíquota ajustada conforme apuração do percentual médio de recolhimento, em consonância com a legislação fiscal vigente</v>
      </c>
      <c r="E141" s="110"/>
      <c r="F141" s="110"/>
      <c r="G141" s="57" t="n">
        <v>0</v>
      </c>
      <c r="H141" s="58" t="n">
        <f aca="false">(MODULO_1+MODULO_2+MODULO_3+MODULO_4+MODULO_5+CUSTO_INDIRETO+LUCRO)/(1-($G$140+G141+$G$144))*$G$141</f>
        <v>0</v>
      </c>
    </row>
    <row r="142" customFormat="false" ht="15.75" hidden="false" customHeight="true" outlineLevel="0" collapsed="false">
      <c r="B142" s="107" t="s">
        <v>138</v>
      </c>
      <c r="C142" s="111" t="str">
        <f aca="false">IF(E54="SIM","Licitante deve informar alíquota CPRB (Contribuição Previdenciária sobre a Receita Bruta) conforme Lei 12.546/2011","Outros (especificar)")</f>
        <v>Outros (especificar)</v>
      </c>
      <c r="D142" s="111"/>
      <c r="E142" s="111"/>
      <c r="F142" s="111"/>
      <c r="G142" s="109" t="n">
        <f aca="false">IF(E54="SIM",0.045,0)</f>
        <v>0</v>
      </c>
      <c r="H142" s="112" t="n">
        <f aca="false">IF(E54="NÃO",(MODULO_1+MODULO_2+MODULO_3+MODULO_4+MODULO_5+CUSTO_INDIRETO+LUCRO)*G142,"INFORMAR")</f>
        <v>0</v>
      </c>
    </row>
    <row r="143" customFormat="false" ht="15.75" hidden="false" customHeight="true" outlineLevel="0" collapsed="false">
      <c r="A143" s="8"/>
      <c r="B143" s="97" t="s">
        <v>139</v>
      </c>
      <c r="C143" s="98" t="s">
        <v>140</v>
      </c>
      <c r="D143" s="98"/>
      <c r="E143" s="98"/>
      <c r="F143" s="98"/>
      <c r="G143" s="105" t="n">
        <v>0</v>
      </c>
      <c r="H143" s="106" t="n">
        <f aca="false">SUM($H$144)</f>
        <v>0</v>
      </c>
    </row>
    <row r="144" customFormat="false" ht="15.75" hidden="false" customHeight="true" outlineLevel="0" collapsed="false">
      <c r="B144" s="107" t="s">
        <v>141</v>
      </c>
      <c r="C144" s="26" t="s">
        <v>142</v>
      </c>
      <c r="D144" s="26"/>
      <c r="E144" s="26"/>
      <c r="F144" s="26"/>
      <c r="G144" s="109" t="n">
        <v>0</v>
      </c>
      <c r="H144" s="103" t="n">
        <f aca="false">(MODULO_1+MODULO_2+MODULO_3+MODULO_4+MODULO_5+CUSTO_INDIRETO+LUCRO)/(1-($G$140+G141+$G$144))*$G$144</f>
        <v>0</v>
      </c>
    </row>
    <row r="145" customFormat="false" ht="15.75" hidden="false" customHeight="true" outlineLevel="0" collapsed="false">
      <c r="B145" s="113" t="s">
        <v>121</v>
      </c>
      <c r="C145" s="113"/>
      <c r="D145" s="113"/>
      <c r="E145" s="113"/>
      <c r="F145" s="113"/>
      <c r="G145" s="114" t="n">
        <f aca="false">(1+G137)*(1+G138)/(1-(G139+G143))-1</f>
        <v>0</v>
      </c>
      <c r="H145" s="115" t="n">
        <f aca="false">SUM(CUSTO_INDIRETO,LUCRO,$H$139,$H$143)</f>
        <v>0</v>
      </c>
    </row>
    <row r="146" customFormat="false" ht="15.75" hidden="false" customHeight="true" outlineLevel="0" collapsed="false">
      <c r="H146" s="1"/>
    </row>
    <row r="147" customFormat="false" ht="15.75" hidden="false" customHeight="true" outlineLevel="0" collapsed="false">
      <c r="B147" s="116" t="s">
        <v>143</v>
      </c>
      <c r="C147" s="116"/>
      <c r="D147" s="116"/>
      <c r="E147" s="116"/>
      <c r="F147" s="116"/>
      <c r="G147" s="116"/>
      <c r="H147" s="116"/>
    </row>
    <row r="148" customFormat="false" ht="15.75" hidden="false" customHeight="true" outlineLevel="0" collapsed="false">
      <c r="B148" s="34" t="s">
        <v>144</v>
      </c>
      <c r="C148" s="34"/>
      <c r="D148" s="34"/>
      <c r="E148" s="34"/>
      <c r="F148" s="34"/>
      <c r="G148" s="34"/>
      <c r="H148" s="36" t="s">
        <v>53</v>
      </c>
    </row>
    <row r="149" customFormat="false" ht="15.75" hidden="false" customHeight="true" outlineLevel="0" collapsed="false">
      <c r="B149" s="37" t="s">
        <v>17</v>
      </c>
      <c r="C149" s="38" t="s">
        <v>145</v>
      </c>
      <c r="D149" s="38"/>
      <c r="E149" s="38"/>
      <c r="F149" s="38"/>
      <c r="G149" s="38"/>
      <c r="H149" s="40" t="n">
        <f aca="false">MODULO_1</f>
        <v>3880</v>
      </c>
    </row>
    <row r="150" customFormat="false" ht="15.75" hidden="false" customHeight="true" outlineLevel="0" collapsed="false">
      <c r="B150" s="41" t="s">
        <v>19</v>
      </c>
      <c r="C150" s="15" t="s">
        <v>146</v>
      </c>
      <c r="D150" s="15"/>
      <c r="E150" s="15"/>
      <c r="F150" s="15"/>
      <c r="G150" s="15"/>
      <c r="H150" s="44" t="n">
        <f aca="false">MODULO_2</f>
        <v>0</v>
      </c>
    </row>
    <row r="151" customFormat="false" ht="15.75" hidden="false" customHeight="true" outlineLevel="0" collapsed="false">
      <c r="B151" s="37" t="s">
        <v>22</v>
      </c>
      <c r="C151" s="38" t="s">
        <v>147</v>
      </c>
      <c r="D151" s="38"/>
      <c r="E151" s="38"/>
      <c r="F151" s="38"/>
      <c r="G151" s="38"/>
      <c r="H151" s="40" t="n">
        <f aca="false">MODULO_3</f>
        <v>0</v>
      </c>
    </row>
    <row r="152" customFormat="false" ht="15.75" hidden="false" customHeight="true" outlineLevel="0" collapsed="false">
      <c r="B152" s="41" t="s">
        <v>25</v>
      </c>
      <c r="C152" s="15" t="s">
        <v>148</v>
      </c>
      <c r="D152" s="15"/>
      <c r="E152" s="15"/>
      <c r="F152" s="15"/>
      <c r="G152" s="15"/>
      <c r="H152" s="44" t="n">
        <f aca="false">MODULO_4</f>
        <v>0</v>
      </c>
    </row>
    <row r="153" customFormat="false" ht="15.75" hidden="false" customHeight="true" outlineLevel="0" collapsed="false">
      <c r="B153" s="37" t="s">
        <v>43</v>
      </c>
      <c r="C153" s="38" t="s">
        <v>149</v>
      </c>
      <c r="D153" s="38"/>
      <c r="E153" s="38"/>
      <c r="F153" s="38"/>
      <c r="G153" s="38"/>
      <c r="H153" s="40" t="n">
        <f aca="false">MODULO_5</f>
        <v>0</v>
      </c>
    </row>
    <row r="154" customFormat="false" ht="15.75" hidden="false" customHeight="true" outlineLevel="0" collapsed="false">
      <c r="B154" s="117" t="s">
        <v>150</v>
      </c>
      <c r="C154" s="117"/>
      <c r="D154" s="117"/>
      <c r="E154" s="117"/>
      <c r="F154" s="117"/>
      <c r="G154" s="117"/>
      <c r="H154" s="118" t="n">
        <f aca="false">SUM($H$149:$H$153)</f>
        <v>3880</v>
      </c>
    </row>
    <row r="155" customFormat="false" ht="15.75" hidden="false" customHeight="true" outlineLevel="0" collapsed="false">
      <c r="B155" s="37" t="s">
        <v>45</v>
      </c>
      <c r="C155" s="38" t="s">
        <v>151</v>
      </c>
      <c r="D155" s="38"/>
      <c r="E155" s="38"/>
      <c r="F155" s="38"/>
      <c r="G155" s="38"/>
      <c r="H155" s="40" t="n">
        <f aca="false">MODULO_6</f>
        <v>0</v>
      </c>
    </row>
    <row r="156" customFormat="false" ht="15.75" hidden="false" customHeight="true" outlineLevel="0" collapsed="false">
      <c r="B156" s="119" t="s">
        <v>152</v>
      </c>
      <c r="C156" s="119"/>
      <c r="D156" s="119"/>
      <c r="E156" s="119"/>
      <c r="F156" s="119"/>
      <c r="G156" s="119"/>
      <c r="H156" s="120" t="n">
        <f aca="false">SUM($H$154:$H$155)</f>
        <v>3880</v>
      </c>
    </row>
    <row r="157" customFormat="false" ht="15.75" hidden="false" customHeight="true" outlineLevel="0" collapsed="false">
      <c r="B157" s="119" t="s">
        <v>153</v>
      </c>
      <c r="C157" s="119"/>
      <c r="D157" s="119"/>
      <c r="E157" s="121" t="n">
        <f aca="false">$D$22</f>
        <v>1</v>
      </c>
      <c r="F157" s="119" t="s">
        <v>154</v>
      </c>
      <c r="G157" s="119"/>
      <c r="H157" s="120" t="n">
        <f aca="false">$H$156*$E$157</f>
        <v>3880</v>
      </c>
    </row>
    <row r="158" customFormat="false" ht="15.75" hidden="false" customHeight="true" outlineLevel="0" collapsed="false">
      <c r="B158" s="119" t="s">
        <v>155</v>
      </c>
      <c r="C158" s="119"/>
      <c r="D158" s="119"/>
      <c r="E158" s="121" t="n">
        <f aca="false">$G$22</f>
        <v>1</v>
      </c>
      <c r="F158" s="119" t="s">
        <v>156</v>
      </c>
      <c r="G158" s="119"/>
      <c r="H158" s="120" t="n">
        <f aca="false">$H$157*$E$158</f>
        <v>3880</v>
      </c>
    </row>
    <row r="159" customFormat="false" ht="15.75" hidden="false" customHeight="true" outlineLevel="0" collapsed="false">
      <c r="B159" s="119" t="s">
        <v>157</v>
      </c>
      <c r="C159" s="119"/>
      <c r="D159" s="119"/>
      <c r="E159" s="119"/>
      <c r="F159" s="119"/>
      <c r="G159" s="119"/>
      <c r="H159" s="120" t="n">
        <f aca="false">$H$158*$G$18</f>
        <v>46560</v>
      </c>
    </row>
  </sheetData>
  <mergeCells count="167">
    <mergeCell ref="B2:H2"/>
    <mergeCell ref="B3:H3"/>
    <mergeCell ref="B4:H4"/>
    <mergeCell ref="B5:H5"/>
    <mergeCell ref="B6:E6"/>
    <mergeCell ref="F6:H6"/>
    <mergeCell ref="B7:H7"/>
    <mergeCell ref="B8:H8"/>
    <mergeCell ref="B9:H9"/>
    <mergeCell ref="B10:C10"/>
    <mergeCell ref="D10:F10"/>
    <mergeCell ref="G10:H10"/>
    <mergeCell ref="B11:C11"/>
    <mergeCell ref="D11:E11"/>
    <mergeCell ref="F11:H11"/>
    <mergeCell ref="B12:E12"/>
    <mergeCell ref="F12:H12"/>
    <mergeCell ref="B14:H14"/>
    <mergeCell ref="C15:F15"/>
    <mergeCell ref="G15:H15"/>
    <mergeCell ref="C16:F16"/>
    <mergeCell ref="G16:H16"/>
    <mergeCell ref="C17:F17"/>
    <mergeCell ref="G17:H17"/>
    <mergeCell ref="C18:F18"/>
    <mergeCell ref="G18:H18"/>
    <mergeCell ref="B20:H20"/>
    <mergeCell ref="B21:C21"/>
    <mergeCell ref="D21:E21"/>
    <mergeCell ref="G21:H21"/>
    <mergeCell ref="B22:C22"/>
    <mergeCell ref="D22:E22"/>
    <mergeCell ref="G22:H22"/>
    <mergeCell ref="B24:H24"/>
    <mergeCell ref="B25:H25"/>
    <mergeCell ref="B26:H26"/>
    <mergeCell ref="C27:F27"/>
    <mergeCell ref="G27:H27"/>
    <mergeCell ref="C28:F28"/>
    <mergeCell ref="G28:H28"/>
    <mergeCell ref="C29:F29"/>
    <mergeCell ref="G29:H29"/>
    <mergeCell ref="C30:F30"/>
    <mergeCell ref="G30:H30"/>
    <mergeCell ref="C31:F31"/>
    <mergeCell ref="G31:H31"/>
    <mergeCell ref="C32:F32"/>
    <mergeCell ref="G32:H32"/>
    <mergeCell ref="C33:F33"/>
    <mergeCell ref="G33:H33"/>
    <mergeCell ref="B35:H35"/>
    <mergeCell ref="C36:F36"/>
    <mergeCell ref="C37:F37"/>
    <mergeCell ref="E38:F38"/>
    <mergeCell ref="E39:F39"/>
    <mergeCell ref="E40:F40"/>
    <mergeCell ref="C41:F41"/>
    <mergeCell ref="C42:F42"/>
    <mergeCell ref="B43:G43"/>
    <mergeCell ref="B45:H45"/>
    <mergeCell ref="B46:H46"/>
    <mergeCell ref="C47:F47"/>
    <mergeCell ref="C48:F48"/>
    <mergeCell ref="C49:F49"/>
    <mergeCell ref="B50:F50"/>
    <mergeCell ref="B52:H52"/>
    <mergeCell ref="C53:F53"/>
    <mergeCell ref="C55:F55"/>
    <mergeCell ref="B56:B57"/>
    <mergeCell ref="C56:C57"/>
    <mergeCell ref="D56:F56"/>
    <mergeCell ref="G56:G57"/>
    <mergeCell ref="H56:H57"/>
    <mergeCell ref="C58:F58"/>
    <mergeCell ref="C59:F59"/>
    <mergeCell ref="C60:F60"/>
    <mergeCell ref="C61:F61"/>
    <mergeCell ref="C62:F62"/>
    <mergeCell ref="B63:F63"/>
    <mergeCell ref="B65:H65"/>
    <mergeCell ref="C66:F66"/>
    <mergeCell ref="B67:B68"/>
    <mergeCell ref="D67:F67"/>
    <mergeCell ref="C68:F68"/>
    <mergeCell ref="D69:F69"/>
    <mergeCell ref="C70:F70"/>
    <mergeCell ref="C71:F71"/>
    <mergeCell ref="C72:F72"/>
    <mergeCell ref="C73:F73"/>
    <mergeCell ref="C74:F74"/>
    <mergeCell ref="C75:F75"/>
    <mergeCell ref="B76:G76"/>
    <mergeCell ref="B78:H78"/>
    <mergeCell ref="C79:F79"/>
    <mergeCell ref="C80:F80"/>
    <mergeCell ref="B81:G81"/>
    <mergeCell ref="B83:H83"/>
    <mergeCell ref="C84:G84"/>
    <mergeCell ref="C85:G85"/>
    <mergeCell ref="C86:G86"/>
    <mergeCell ref="C87:G87"/>
    <mergeCell ref="C88:G88"/>
    <mergeCell ref="B89:G89"/>
    <mergeCell ref="B91:H91"/>
    <mergeCell ref="C92:F92"/>
    <mergeCell ref="C93:F93"/>
    <mergeCell ref="C94:F94"/>
    <mergeCell ref="C95:F95"/>
    <mergeCell ref="C96:F96"/>
    <mergeCell ref="C97:F97"/>
    <mergeCell ref="C98:F98"/>
    <mergeCell ref="B99:F99"/>
    <mergeCell ref="B101:H101"/>
    <mergeCell ref="B102:H102"/>
    <mergeCell ref="C103:F103"/>
    <mergeCell ref="C104:F104"/>
    <mergeCell ref="C105:F105"/>
    <mergeCell ref="C106:F106"/>
    <mergeCell ref="C107:F107"/>
    <mergeCell ref="C108:F108"/>
    <mergeCell ref="C109:F109"/>
    <mergeCell ref="B110:F110"/>
    <mergeCell ref="B112:H112"/>
    <mergeCell ref="C113:F113"/>
    <mergeCell ref="C114:F114"/>
    <mergeCell ref="B115:F115"/>
    <mergeCell ref="B117:H117"/>
    <mergeCell ref="C118:F118"/>
    <mergeCell ref="C119:F119"/>
    <mergeCell ref="C120:F120"/>
    <mergeCell ref="B121:G121"/>
    <mergeCell ref="B123:H123"/>
    <mergeCell ref="C124:G124"/>
    <mergeCell ref="C125:G125"/>
    <mergeCell ref="C126:G126"/>
    <mergeCell ref="C127:G127"/>
    <mergeCell ref="C128:G128"/>
    <mergeCell ref="C129:G129"/>
    <mergeCell ref="C130:G130"/>
    <mergeCell ref="B131:G131"/>
    <mergeCell ref="C133:F133"/>
    <mergeCell ref="B135:H135"/>
    <mergeCell ref="C136:F136"/>
    <mergeCell ref="C137:F137"/>
    <mergeCell ref="C138:F138"/>
    <mergeCell ref="D139:E139"/>
    <mergeCell ref="D140:F140"/>
    <mergeCell ref="D141:F141"/>
    <mergeCell ref="C142:F142"/>
    <mergeCell ref="C143:F143"/>
    <mergeCell ref="C144:F144"/>
    <mergeCell ref="B145:F145"/>
    <mergeCell ref="B147:H147"/>
    <mergeCell ref="B148:G148"/>
    <mergeCell ref="C149:G149"/>
    <mergeCell ref="C150:G150"/>
    <mergeCell ref="C151:G151"/>
    <mergeCell ref="C152:G152"/>
    <mergeCell ref="C153:G153"/>
    <mergeCell ref="B154:G154"/>
    <mergeCell ref="C155:G155"/>
    <mergeCell ref="B156:G156"/>
    <mergeCell ref="B157:D157"/>
    <mergeCell ref="F157:G157"/>
    <mergeCell ref="B158:D158"/>
    <mergeCell ref="F158:G158"/>
    <mergeCell ref="B159:G159"/>
  </mergeCells>
  <conditionalFormatting sqref="C142:F142">
    <cfRule type="cellIs" priority="2" operator="equal" aboveAverage="0" equalAverage="0" bottom="0" percent="0" rank="0" text="" dxfId="0">
      <formula>"Licitante deve informar alíquota CPRB (Contribuição Previdenciária sobre a Receita Bruta) conforme Lei 12.546/2011"</formula>
    </cfRule>
  </conditionalFormatting>
  <dataValidations count="8">
    <dataValidation allowBlank="true" operator="between" showDropDown="false" showErrorMessage="true" showInputMessage="false" sqref="D38 D40 E54" type="list">
      <formula1>"SIM,NÃO"</formula1>
      <formula2>0</formula2>
    </dataValidation>
    <dataValidation allowBlank="true" operator="between" prompt="Certifique-se de estar usando os valores corretos." showDropDown="false" showErrorMessage="false" showInputMessage="true" sqref="G32" type="list">
      <formula1>AUX!$E$2:$E160</formula1>
      <formula2>0</formula2>
    </dataValidation>
    <dataValidation allowBlank="true" operator="between" showDropDown="false" showErrorMessage="true" showInputMessage="false" sqref="D57" type="list">
      <formula1>"RAT = 1%,RAT = 2%,RAT = 3%"</formula1>
      <formula2>0</formula2>
    </dataValidation>
    <dataValidation allowBlank="true" operator="between" showDropDown="false" showErrorMessage="true" showInputMessage="false" sqref="F139" type="list">
      <formula1>"LUCRO PRESUMIDO,LUCRO REAL,SIMPLES NACIONAL"</formula1>
      <formula2>0</formula2>
    </dataValidation>
    <dataValidation allowBlank="true" operator="between" showDropDown="false" showErrorMessage="true" showInputMessage="false" sqref="E39" type="list">
      <formula1>"SALÁRIO-BASE,SALÁRIO MÍNIMO"</formula1>
      <formula2>0</formula2>
    </dataValidation>
    <dataValidation allowBlank="true" operator="between" showDropDown="false" showErrorMessage="true" showInputMessage="false" sqref="D39" type="list">
      <formula1>AUX!$A$3:$A$6</formula1>
      <formula2>0</formula2>
    </dataValidation>
    <dataValidation allowBlank="true" operator="between" prompt="Insira um número entre 0,5 e 2." showDropDown="true" showErrorMessage="true" showInputMessage="true" sqref="F57" type="decimal">
      <formula1>0.5</formula1>
      <formula2>2</formula2>
    </dataValidation>
    <dataValidation allowBlank="true" operator="between" prompt="Escolha na lista a unidade de medida ou informe outro valor." showDropDown="false" showErrorMessage="false" showInputMessage="true" sqref="F22" type="list">
      <formula1>"Posto de Serviço,Metro Quadrado,Hora Técnica Profissional,Outro (especificar)"</formula1>
      <formula2>0</formula2>
    </dataValidation>
  </dataValidation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0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5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.37755102040816"/>
    <col collapsed="false" hidden="false" max="2" min="2" style="0" width="5.12755102040816"/>
    <col collapsed="false" hidden="false" max="3" min="3" style="0" width="22.6224489795918"/>
    <col collapsed="false" hidden="false" max="4" min="4" style="0" width="13.6275510204082"/>
    <col collapsed="false" hidden="false" max="5" min="5" style="0" width="6.5"/>
    <col collapsed="false" hidden="false" max="6" min="6" style="0" width="27.6275510204082"/>
    <col collapsed="false" hidden="false" max="7" min="7" style="0" width="18.8826530612245"/>
    <col collapsed="false" hidden="false" max="8" min="8" style="0" width="17.25"/>
    <col collapsed="false" hidden="false" max="26" min="9" style="0" width="8.63265306122449"/>
    <col collapsed="false" hidden="false" max="1025" min="27" style="0" width="12.6275510204082"/>
  </cols>
  <sheetData>
    <row r="1" customFormat="false" ht="8.25" hidden="false" customHeight="true" outlineLevel="0" collapsed="false">
      <c r="H1" s="122"/>
    </row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2"/>
    </row>
    <row r="3" customFormat="false" ht="15.75" hidden="false" customHeight="true" outlineLevel="0" collapsed="false">
      <c r="B3" s="3" t="s">
        <v>1</v>
      </c>
      <c r="C3" s="3"/>
      <c r="D3" s="3"/>
      <c r="E3" s="3"/>
      <c r="F3" s="3"/>
      <c r="G3" s="3"/>
      <c r="H3" s="3"/>
    </row>
    <row r="4" customFormat="false" ht="15.75" hidden="false" customHeight="true" outlineLevel="0" collapsed="false">
      <c r="B4" s="3" t="s">
        <v>2</v>
      </c>
      <c r="C4" s="3"/>
      <c r="D4" s="3"/>
      <c r="E4" s="3"/>
      <c r="F4" s="3"/>
      <c r="G4" s="3"/>
      <c r="H4" s="3"/>
    </row>
    <row r="5" customFormat="false" ht="15.75" hidden="false" customHeight="true" outlineLevel="0" collapsed="false">
      <c r="B5" s="4" t="s">
        <v>3</v>
      </c>
      <c r="C5" s="4"/>
      <c r="D5" s="4"/>
      <c r="E5" s="4"/>
      <c r="F5" s="4"/>
      <c r="G5" s="4"/>
      <c r="H5" s="4"/>
    </row>
    <row r="6" customFormat="false" ht="15.75" hidden="false" customHeight="true" outlineLevel="0" collapsed="false">
      <c r="B6" s="5" t="s">
        <v>4</v>
      </c>
      <c r="C6" s="5"/>
      <c r="D6" s="5"/>
      <c r="E6" s="5"/>
      <c r="F6" s="5" t="s">
        <v>5</v>
      </c>
      <c r="G6" s="5"/>
      <c r="H6" s="5"/>
    </row>
    <row r="7" customFormat="false" ht="15.75" hidden="false" customHeight="true" outlineLevel="0" collapsed="false">
      <c r="B7" s="6" t="s">
        <v>6</v>
      </c>
      <c r="C7" s="6"/>
      <c r="D7" s="6"/>
      <c r="E7" s="6"/>
      <c r="F7" s="6"/>
      <c r="G7" s="6"/>
      <c r="H7" s="6"/>
    </row>
    <row r="8" customFormat="false" ht="15.75" hidden="false" customHeight="true" outlineLevel="0" collapsed="false">
      <c r="B8" s="7" t="s">
        <v>7</v>
      </c>
      <c r="C8" s="7"/>
      <c r="D8" s="7"/>
      <c r="E8" s="7"/>
      <c r="F8" s="7"/>
      <c r="G8" s="7"/>
      <c r="H8" s="7"/>
    </row>
    <row r="9" customFormat="false" ht="15.75" hidden="false" customHeight="true" outlineLevel="0" collapsed="false">
      <c r="B9" s="6" t="s">
        <v>8</v>
      </c>
      <c r="C9" s="6"/>
      <c r="D9" s="6"/>
      <c r="E9" s="6"/>
      <c r="F9" s="6"/>
      <c r="G9" s="6"/>
      <c r="H9" s="6"/>
    </row>
    <row r="10" customFormat="false" ht="15.75" hidden="false" customHeight="true" outlineLevel="0" collapsed="false">
      <c r="B10" s="7" t="s">
        <v>9</v>
      </c>
      <c r="C10" s="7"/>
      <c r="D10" s="7" t="s">
        <v>158</v>
      </c>
      <c r="E10" s="7"/>
      <c r="F10" s="7"/>
      <c r="G10" s="7" t="s">
        <v>159</v>
      </c>
      <c r="H10" s="7"/>
    </row>
    <row r="11" customFormat="false" ht="15.75" hidden="false" customHeight="true" outlineLevel="0" collapsed="false">
      <c r="B11" s="6" t="s">
        <v>12</v>
      </c>
      <c r="C11" s="6"/>
      <c r="D11" s="6" t="s">
        <v>13</v>
      </c>
      <c r="E11" s="6"/>
      <c r="F11" s="6" t="s">
        <v>14</v>
      </c>
      <c r="G11" s="6"/>
      <c r="H11" s="6"/>
    </row>
    <row r="12" customFormat="false" ht="15.75" hidden="false" customHeight="true" outlineLevel="0" collapsed="false">
      <c r="A12" s="8"/>
      <c r="B12" s="9"/>
      <c r="C12" s="9"/>
      <c r="D12" s="9"/>
      <c r="E12" s="9"/>
      <c r="F12" s="10" t="s">
        <v>15</v>
      </c>
      <c r="G12" s="10"/>
      <c r="H12" s="10"/>
    </row>
    <row r="13" customFormat="false" ht="15.75" hidden="false" customHeight="true" outlineLevel="0" collapsed="false">
      <c r="H13" s="122"/>
    </row>
    <row r="14" customFormat="false" ht="15.75" hidden="false" customHeight="true" outlineLevel="0" collapsed="false">
      <c r="B14" s="3" t="s">
        <v>16</v>
      </c>
      <c r="C14" s="3"/>
      <c r="D14" s="3"/>
      <c r="E14" s="3"/>
      <c r="F14" s="3"/>
      <c r="G14" s="3"/>
      <c r="H14" s="3"/>
    </row>
    <row r="15" customFormat="false" ht="15.75" hidden="false" customHeight="true" outlineLevel="0" collapsed="false">
      <c r="B15" s="11" t="s">
        <v>17</v>
      </c>
      <c r="C15" s="12" t="s">
        <v>18</v>
      </c>
      <c r="D15" s="12"/>
      <c r="E15" s="12"/>
      <c r="F15" s="12"/>
      <c r="G15" s="13"/>
      <c r="H15" s="13"/>
    </row>
    <row r="16" customFormat="false" ht="15.75" hidden="false" customHeight="true" outlineLevel="0" collapsed="false">
      <c r="B16" s="14" t="s">
        <v>19</v>
      </c>
      <c r="C16" s="15" t="s">
        <v>20</v>
      </c>
      <c r="D16" s="15"/>
      <c r="E16" s="15"/>
      <c r="F16" s="15"/>
      <c r="G16" s="16" t="s">
        <v>21</v>
      </c>
      <c r="H16" s="16"/>
    </row>
    <row r="17" customFormat="false" ht="15.75" hidden="false" customHeight="true" outlineLevel="0" collapsed="false">
      <c r="B17" s="11" t="s">
        <v>22</v>
      </c>
      <c r="C17" s="12" t="s">
        <v>23</v>
      </c>
      <c r="D17" s="12"/>
      <c r="E17" s="12"/>
      <c r="F17" s="12"/>
      <c r="G17" s="17"/>
      <c r="H17" s="17"/>
    </row>
    <row r="18" customFormat="false" ht="15.75" hidden="false" customHeight="true" outlineLevel="0" collapsed="false">
      <c r="B18" s="14" t="s">
        <v>25</v>
      </c>
      <c r="C18" s="15" t="s">
        <v>26</v>
      </c>
      <c r="D18" s="15"/>
      <c r="E18" s="15"/>
      <c r="F18" s="15"/>
      <c r="G18" s="16" t="n">
        <v>12</v>
      </c>
      <c r="H18" s="16"/>
    </row>
    <row r="19" customFormat="false" ht="15.75" hidden="false" customHeight="true" outlineLevel="0" collapsed="false">
      <c r="H19" s="122"/>
    </row>
    <row r="20" customFormat="false" ht="15.75" hidden="false" customHeight="true" outlineLevel="0" collapsed="false">
      <c r="B20" s="3" t="s">
        <v>27</v>
      </c>
      <c r="C20" s="3"/>
      <c r="D20" s="3"/>
      <c r="E20" s="3"/>
      <c r="F20" s="3"/>
      <c r="G20" s="3"/>
      <c r="H20" s="3"/>
    </row>
    <row r="21" customFormat="false" ht="31.5" hidden="false" customHeight="true" outlineLevel="0" collapsed="false">
      <c r="B21" s="18" t="s">
        <v>28</v>
      </c>
      <c r="C21" s="18"/>
      <c r="D21" s="19" t="s">
        <v>29</v>
      </c>
      <c r="E21" s="19"/>
      <c r="F21" s="18" t="s">
        <v>30</v>
      </c>
      <c r="G21" s="19" t="s">
        <v>31</v>
      </c>
      <c r="H21" s="19"/>
    </row>
    <row r="22" customFormat="false" ht="47.25" hidden="false" customHeight="true" outlineLevel="0" collapsed="false">
      <c r="A22" s="20"/>
      <c r="B22" s="21" t="s">
        <v>32</v>
      </c>
      <c r="C22" s="21"/>
      <c r="D22" s="21" t="n">
        <v>1</v>
      </c>
      <c r="E22" s="21"/>
      <c r="F22" s="21" t="s">
        <v>33</v>
      </c>
      <c r="G22" s="21" t="n">
        <v>1</v>
      </c>
      <c r="H22" s="21"/>
    </row>
    <row r="23" customFormat="false" ht="15.75" hidden="false" customHeight="true" outlineLevel="0" collapsed="false">
      <c r="H23" s="122"/>
    </row>
    <row r="24" customFormat="false" ht="15.75" hidden="false" customHeight="true" outlineLevel="0" collapsed="false">
      <c r="B24" s="3" t="s">
        <v>34</v>
      </c>
      <c r="C24" s="3"/>
      <c r="D24" s="3"/>
      <c r="E24" s="3"/>
      <c r="F24" s="3"/>
      <c r="G24" s="3"/>
      <c r="H24" s="3"/>
    </row>
    <row r="25" customFormat="false" ht="15.75" hidden="false" customHeight="true" outlineLevel="0" collapsed="false">
      <c r="B25" s="18" t="s">
        <v>35</v>
      </c>
      <c r="C25" s="18"/>
      <c r="D25" s="18"/>
      <c r="E25" s="18"/>
      <c r="F25" s="18"/>
      <c r="G25" s="18"/>
      <c r="H25" s="18"/>
    </row>
    <row r="26" customFormat="false" ht="15.75" hidden="false" customHeight="true" outlineLevel="0" collapsed="false">
      <c r="B26" s="3" t="s">
        <v>36</v>
      </c>
      <c r="C26" s="3"/>
      <c r="D26" s="3"/>
      <c r="E26" s="3"/>
      <c r="F26" s="3"/>
      <c r="G26" s="3"/>
      <c r="H26" s="3"/>
    </row>
    <row r="27" customFormat="false" ht="15.75" hidden="false" customHeight="true" outlineLevel="0" collapsed="false">
      <c r="B27" s="22" t="s">
        <v>17</v>
      </c>
      <c r="C27" s="23" t="s">
        <v>37</v>
      </c>
      <c r="D27" s="23"/>
      <c r="E27" s="23"/>
      <c r="F27" s="23"/>
      <c r="G27" s="24" t="s">
        <v>38</v>
      </c>
      <c r="H27" s="24"/>
    </row>
    <row r="28" customFormat="false" ht="15.75" hidden="false" customHeight="true" outlineLevel="0" collapsed="false">
      <c r="B28" s="25" t="s">
        <v>19</v>
      </c>
      <c r="C28" s="26" t="s">
        <v>39</v>
      </c>
      <c r="D28" s="26"/>
      <c r="E28" s="26"/>
      <c r="F28" s="26"/>
      <c r="G28" s="27" t="s">
        <v>40</v>
      </c>
      <c r="H28" s="27"/>
    </row>
    <row r="29" customFormat="false" ht="15.75" hidden="false" customHeight="true" outlineLevel="0" collapsed="false">
      <c r="B29" s="22" t="s">
        <v>22</v>
      </c>
      <c r="C29" s="23" t="s">
        <v>41</v>
      </c>
      <c r="D29" s="23"/>
      <c r="E29" s="23"/>
      <c r="F29" s="23"/>
      <c r="G29" s="28"/>
      <c r="H29" s="28"/>
    </row>
    <row r="30" customFormat="false" ht="15.75" hidden="false" customHeight="true" outlineLevel="0" collapsed="false">
      <c r="B30" s="25" t="s">
        <v>25</v>
      </c>
      <c r="C30" s="26" t="s">
        <v>42</v>
      </c>
      <c r="D30" s="26"/>
      <c r="E30" s="26"/>
      <c r="F30" s="26"/>
      <c r="G30" s="21"/>
      <c r="H30" s="21"/>
    </row>
    <row r="31" customFormat="false" ht="15.75" hidden="false" customHeight="true" outlineLevel="0" collapsed="false">
      <c r="B31" s="22" t="s">
        <v>43</v>
      </c>
      <c r="C31" s="23" t="s">
        <v>44</v>
      </c>
      <c r="D31" s="23"/>
      <c r="E31" s="23"/>
      <c r="F31" s="23"/>
      <c r="G31" s="29"/>
      <c r="H31" s="29"/>
    </row>
    <row r="32" customFormat="false" ht="15.75" hidden="false" customHeight="true" outlineLevel="0" collapsed="false">
      <c r="A32" s="30"/>
      <c r="B32" s="25" t="s">
        <v>45</v>
      </c>
      <c r="C32" s="26" t="s">
        <v>46</v>
      </c>
      <c r="D32" s="26"/>
      <c r="E32" s="26"/>
      <c r="F32" s="26"/>
      <c r="G32" s="31"/>
      <c r="H32" s="31"/>
    </row>
    <row r="33" customFormat="false" ht="15" hidden="false" customHeight="true" outlineLevel="0" collapsed="false">
      <c r="B33" s="22" t="s">
        <v>47</v>
      </c>
      <c r="C33" s="23" t="s">
        <v>48</v>
      </c>
      <c r="D33" s="23"/>
      <c r="E33" s="23"/>
      <c r="F33" s="23"/>
      <c r="G33" s="24" t="s">
        <v>49</v>
      </c>
      <c r="H33" s="24"/>
    </row>
    <row r="34" customFormat="false" ht="15.75" hidden="false" customHeight="true" outlineLevel="0" collapsed="false">
      <c r="H34" s="122"/>
    </row>
    <row r="35" customFormat="false" ht="15.75" hidden="false" customHeight="true" outlineLevel="0" collapsed="false">
      <c r="B35" s="32" t="s">
        <v>50</v>
      </c>
      <c r="C35" s="32"/>
      <c r="D35" s="32"/>
      <c r="E35" s="32"/>
      <c r="F35" s="32"/>
      <c r="G35" s="32"/>
      <c r="H35" s="32"/>
    </row>
    <row r="36" customFormat="false" ht="15.75" hidden="false" customHeight="true" outlineLevel="0" collapsed="false">
      <c r="B36" s="33" t="n">
        <v>1</v>
      </c>
      <c r="C36" s="34" t="s">
        <v>51</v>
      </c>
      <c r="D36" s="34"/>
      <c r="E36" s="34"/>
      <c r="F36" s="34"/>
      <c r="G36" s="35" t="s">
        <v>52</v>
      </c>
      <c r="H36" s="123" t="s">
        <v>53</v>
      </c>
    </row>
    <row r="37" customFormat="false" ht="15.75" hidden="false" customHeight="true" outlineLevel="0" collapsed="false">
      <c r="B37" s="37" t="s">
        <v>17</v>
      </c>
      <c r="C37" s="38" t="s">
        <v>54</v>
      </c>
      <c r="D37" s="38"/>
      <c r="E37" s="38"/>
      <c r="F37" s="38"/>
      <c r="G37" s="39" t="n">
        <v>1</v>
      </c>
      <c r="H37" s="124" t="n">
        <f aca="false">G29</f>
        <v>0</v>
      </c>
    </row>
    <row r="38" customFormat="false" ht="15.75" hidden="false" customHeight="true" outlineLevel="0" collapsed="false">
      <c r="B38" s="41" t="s">
        <v>19</v>
      </c>
      <c r="C38" s="15" t="s">
        <v>55</v>
      </c>
      <c r="D38" s="42" t="s">
        <v>56</v>
      </c>
      <c r="E38" s="15"/>
      <c r="F38" s="15"/>
      <c r="G38" s="43" t="n">
        <f aca="false">IF(D38="SIM",0.3,0)</f>
        <v>0</v>
      </c>
      <c r="H38" s="125" t="n">
        <f aca="false">ROUND('em branco'!salario_base*$G$38,2)</f>
        <v>0</v>
      </c>
    </row>
    <row r="39" customFormat="false" ht="15.75" hidden="false" customHeight="true" outlineLevel="0" collapsed="false">
      <c r="B39" s="37" t="s">
        <v>22</v>
      </c>
      <c r="C39" s="45" t="s">
        <v>57</v>
      </c>
      <c r="D39" s="46" t="s">
        <v>56</v>
      </c>
      <c r="E39" s="47"/>
      <c r="F39" s="47"/>
      <c r="G39" s="39" t="n">
        <f aca="false">ifs(D38="SIM",0,D39="MÁXIMO",0.4,D39="MÉDIO",0.2,D39="MÍNIMO",0.1,D39="NÃO",0)</f>
        <v>0</v>
      </c>
      <c r="H39" s="124" t="n">
        <f aca="false">IF($E$39="SALÁRIO MÍNIMO",ROUND($G$39*SAL_MINIMO,2),IF($E$39="SALÁRIO-BASE",ROUND($G$39*'em branco'!salario_base,2),0))</f>
        <v>0</v>
      </c>
    </row>
    <row r="40" customFormat="false" ht="15.75" hidden="false" customHeight="true" outlineLevel="0" collapsed="false">
      <c r="B40" s="41" t="s">
        <v>25</v>
      </c>
      <c r="C40" s="15" t="s">
        <v>58</v>
      </c>
      <c r="D40" s="42" t="s">
        <v>56</v>
      </c>
      <c r="E40" s="15"/>
      <c r="F40" s="15"/>
      <c r="G40" s="43" t="n">
        <f aca="false">IF(D40="SIM",0.2,0)</f>
        <v>0</v>
      </c>
      <c r="H40" s="125" t="n">
        <f aca="false">ROUND(IF($D$40="SIM",(8*('em branco'!dias_trabalhados))*((('em branco'!salario_base+'em branco'!periculosidade)/220)*$G$40),0),2)</f>
        <v>0</v>
      </c>
    </row>
    <row r="41" customFormat="false" ht="15.75" hidden="false" customHeight="true" outlineLevel="0" collapsed="false">
      <c r="B41" s="37" t="s">
        <v>43</v>
      </c>
      <c r="C41" s="38" t="s">
        <v>59</v>
      </c>
      <c r="D41" s="38"/>
      <c r="E41" s="38"/>
      <c r="F41" s="38"/>
      <c r="G41" s="39" t="n">
        <v>1.2</v>
      </c>
      <c r="H41" s="124" t="n">
        <f aca="false">ROUND(IF($D$40="SIM",(1*('em branco'!dias_trabalhados))*((('em branco'!salario_base+'em branco'!periculosidade)/220)*$G$41),0),2)</f>
        <v>0</v>
      </c>
    </row>
    <row r="42" customFormat="false" ht="15.75" hidden="false" customHeight="true" outlineLevel="0" collapsed="false">
      <c r="B42" s="41" t="s">
        <v>45</v>
      </c>
      <c r="C42" s="15" t="s">
        <v>60</v>
      </c>
      <c r="D42" s="15"/>
      <c r="E42" s="15"/>
      <c r="F42" s="15"/>
      <c r="G42" s="43" t="n">
        <v>0</v>
      </c>
      <c r="H42" s="125" t="n">
        <f aca="false">'em branco'!salario_base*G42</f>
        <v>0</v>
      </c>
    </row>
    <row r="43" customFormat="false" ht="15.75" hidden="false" customHeight="true" outlineLevel="0" collapsed="false">
      <c r="B43" s="48" t="s">
        <v>61</v>
      </c>
      <c r="C43" s="48"/>
      <c r="D43" s="48"/>
      <c r="E43" s="48"/>
      <c r="F43" s="48"/>
      <c r="G43" s="48"/>
      <c r="H43" s="126" t="n">
        <f aca="false">SUM($H$37:$H$42)</f>
        <v>0</v>
      </c>
    </row>
    <row r="44" customFormat="false" ht="15.75" hidden="false" customHeight="true" outlineLevel="0" collapsed="false">
      <c r="H44" s="122"/>
    </row>
    <row r="45" customFormat="false" ht="15.75" hidden="false" customHeight="true" outlineLevel="0" collapsed="false">
      <c r="B45" s="32" t="s">
        <v>62</v>
      </c>
      <c r="C45" s="32"/>
      <c r="D45" s="32"/>
      <c r="E45" s="32"/>
      <c r="F45" s="32"/>
      <c r="G45" s="32"/>
      <c r="H45" s="32"/>
    </row>
    <row r="46" customFormat="false" ht="15.75" hidden="false" customHeight="true" outlineLevel="0" collapsed="false">
      <c r="B46" s="3" t="s">
        <v>63</v>
      </c>
      <c r="C46" s="3"/>
      <c r="D46" s="3"/>
      <c r="E46" s="3"/>
      <c r="F46" s="3"/>
      <c r="G46" s="3"/>
      <c r="H46" s="3"/>
    </row>
    <row r="47" customFormat="false" ht="15.75" hidden="false" customHeight="true" outlineLevel="0" collapsed="false">
      <c r="B47" s="50" t="n">
        <v>44198</v>
      </c>
      <c r="C47" s="34" t="s">
        <v>51</v>
      </c>
      <c r="D47" s="34"/>
      <c r="E47" s="34"/>
      <c r="F47" s="34"/>
      <c r="G47" s="35" t="s">
        <v>52</v>
      </c>
      <c r="H47" s="123" t="s">
        <v>53</v>
      </c>
    </row>
    <row r="48" customFormat="false" ht="15.75" hidden="false" customHeight="true" outlineLevel="0" collapsed="false">
      <c r="B48" s="37" t="s">
        <v>17</v>
      </c>
      <c r="C48" s="38" t="s">
        <v>64</v>
      </c>
      <c r="D48" s="38"/>
      <c r="E48" s="38"/>
      <c r="F48" s="38"/>
      <c r="G48" s="39" t="n">
        <f aca="false">1/12</f>
        <v>0.08333333333</v>
      </c>
      <c r="H48" s="124" t="n">
        <f aca="false">ROUND('em branco'!modulo_1*$G$48,2)</f>
        <v>0</v>
      </c>
    </row>
    <row r="49" customFormat="false" ht="15.75" hidden="false" customHeight="true" outlineLevel="0" collapsed="false">
      <c r="B49" s="41" t="s">
        <v>19</v>
      </c>
      <c r="C49" s="15" t="s">
        <v>65</v>
      </c>
      <c r="D49" s="15"/>
      <c r="E49" s="15"/>
      <c r="F49" s="15"/>
      <c r="G49" s="43" t="n">
        <f aca="false">((1+1/3)/12)</f>
        <v>0.1111111111</v>
      </c>
      <c r="H49" s="125" t="n">
        <f aca="false">ROUND('em branco'!modulo_1*$G$49,2)</f>
        <v>0</v>
      </c>
    </row>
    <row r="50" customFormat="false" ht="15.75" hidden="false" customHeight="true" outlineLevel="0" collapsed="false">
      <c r="B50" s="33" t="s">
        <v>66</v>
      </c>
      <c r="C50" s="33"/>
      <c r="D50" s="33"/>
      <c r="E50" s="33"/>
      <c r="F50" s="33"/>
      <c r="G50" s="51" t="n">
        <f aca="false">SUM($G$48:$G$49)</f>
        <v>0.1944444444</v>
      </c>
      <c r="H50" s="127" t="n">
        <f aca="false">SUM($H$48:$H$49)</f>
        <v>0</v>
      </c>
    </row>
    <row r="51" customFormat="false" ht="15.75" hidden="false" customHeight="true" outlineLevel="0" collapsed="false">
      <c r="H51" s="122"/>
    </row>
    <row r="52" customFormat="false" ht="15.75" hidden="false" customHeight="true" outlineLevel="0" collapsed="false">
      <c r="B52" s="3" t="s">
        <v>67</v>
      </c>
      <c r="C52" s="3"/>
      <c r="D52" s="3"/>
      <c r="E52" s="3"/>
      <c r="F52" s="3"/>
      <c r="G52" s="3"/>
      <c r="H52" s="3"/>
    </row>
    <row r="53" customFormat="false" ht="15.75" hidden="false" customHeight="true" outlineLevel="0" collapsed="false">
      <c r="B53" s="50" t="n">
        <v>44229</v>
      </c>
      <c r="C53" s="34" t="s">
        <v>51</v>
      </c>
      <c r="D53" s="34"/>
      <c r="E53" s="34"/>
      <c r="F53" s="34"/>
      <c r="G53" s="35" t="s">
        <v>52</v>
      </c>
      <c r="H53" s="123" t="s">
        <v>53</v>
      </c>
    </row>
    <row r="54" customFormat="false" ht="15" hidden="false" customHeight="false" outlineLevel="0" collapsed="false">
      <c r="A54" s="30"/>
      <c r="B54" s="53" t="s">
        <v>17</v>
      </c>
      <c r="C54" s="54" t="s">
        <v>68</v>
      </c>
      <c r="D54" s="55" t="s">
        <v>69</v>
      </c>
      <c r="E54" s="56" t="s">
        <v>56</v>
      </c>
      <c r="F54" s="54"/>
      <c r="G54" s="57" t="n">
        <f aca="false">IF(E54="SIM",0,0.2)</f>
        <v>0.2</v>
      </c>
      <c r="H54" s="128" t="n">
        <f aca="false">ROUND(('em branco'!modulo_1+'em branco'!modulo_2.1)*$G$54,2)</f>
        <v>0</v>
      </c>
    </row>
    <row r="55" customFormat="false" ht="15.75" hidden="false" customHeight="true" outlineLevel="0" collapsed="false">
      <c r="B55" s="41" t="s">
        <v>19</v>
      </c>
      <c r="C55" s="15" t="s">
        <v>70</v>
      </c>
      <c r="D55" s="15"/>
      <c r="E55" s="15"/>
      <c r="F55" s="15"/>
      <c r="G55" s="43" t="n">
        <f aca="false">IF($F$139="SIMPLES NACIONAL",0,0.025)</f>
        <v>0.025</v>
      </c>
      <c r="H55" s="125" t="n">
        <f aca="false">ROUND(('em branco'!modulo_1+'em branco'!modulo_2.1)*$G$55,2)</f>
        <v>0</v>
      </c>
    </row>
    <row r="56" customFormat="false" ht="15.75" hidden="false" customHeight="true" outlineLevel="0" collapsed="false">
      <c r="B56" s="59" t="s">
        <v>22</v>
      </c>
      <c r="C56" s="60" t="s">
        <v>71</v>
      </c>
      <c r="D56" s="61" t="s">
        <v>72</v>
      </c>
      <c r="E56" s="61"/>
      <c r="F56" s="61"/>
      <c r="G56" s="62" t="n">
        <f aca="false">(ifs($D$57="RAT = 1%",0.01,$D$57="RAT = 2%",0.02,$D$57="RAT = 3%",0.03)*$F$57)</f>
        <v>0.03</v>
      </c>
      <c r="H56" s="129" t="n">
        <f aca="false">ROUND(('em branco'!modulo_1+'em branco'!modulo_2.1)*$G$56,2)</f>
        <v>0</v>
      </c>
    </row>
    <row r="57" customFormat="false" ht="15.75" hidden="false" customHeight="true" outlineLevel="0" collapsed="false">
      <c r="B57" s="59"/>
      <c r="C57" s="59"/>
      <c r="D57" s="64" t="s">
        <v>73</v>
      </c>
      <c r="E57" s="65" t="s">
        <v>74</v>
      </c>
      <c r="F57" s="66" t="n">
        <v>1</v>
      </c>
      <c r="G57" s="62"/>
      <c r="H57" s="62"/>
    </row>
    <row r="58" customFormat="false" ht="15.75" hidden="false" customHeight="true" outlineLevel="0" collapsed="false">
      <c r="B58" s="41" t="s">
        <v>25</v>
      </c>
      <c r="C58" s="15" t="s">
        <v>75</v>
      </c>
      <c r="D58" s="15"/>
      <c r="E58" s="15"/>
      <c r="F58" s="15"/>
      <c r="G58" s="43" t="n">
        <f aca="false">IF($F$139="SIMPLES NACIONAL",0,0.015)</f>
        <v>0.015</v>
      </c>
      <c r="H58" s="125" t="n">
        <f aca="false">ROUND(('em branco'!modulo_1+'em branco'!modulo_2.1)*$G$58,2)</f>
        <v>0</v>
      </c>
    </row>
    <row r="59" customFormat="false" ht="15.75" hidden="false" customHeight="true" outlineLevel="0" collapsed="false">
      <c r="B59" s="37" t="s">
        <v>43</v>
      </c>
      <c r="C59" s="38" t="s">
        <v>76</v>
      </c>
      <c r="D59" s="38"/>
      <c r="E59" s="38"/>
      <c r="F59" s="38"/>
      <c r="G59" s="39" t="n">
        <f aca="false">IF($F$139="SIMPLES NACIONAL",0,0.01)</f>
        <v>0.01</v>
      </c>
      <c r="H59" s="124" t="n">
        <f aca="false">ROUND(('em branco'!modulo_1+'em branco'!modulo_2.1)*$G$59,2)</f>
        <v>0</v>
      </c>
    </row>
    <row r="60" customFormat="false" ht="15.75" hidden="false" customHeight="true" outlineLevel="0" collapsed="false">
      <c r="B60" s="41" t="s">
        <v>45</v>
      </c>
      <c r="C60" s="15" t="s">
        <v>77</v>
      </c>
      <c r="D60" s="15"/>
      <c r="E60" s="15"/>
      <c r="F60" s="15"/>
      <c r="G60" s="43" t="n">
        <f aca="false">IF($F$139="SIMPLES NACIONAL",0,0.006)</f>
        <v>0.006</v>
      </c>
      <c r="H60" s="125" t="n">
        <f aca="false">ROUND(('em branco'!modulo_1+'em branco'!modulo_2.1)*$G$60,2)</f>
        <v>0</v>
      </c>
    </row>
    <row r="61" customFormat="false" ht="15.75" hidden="false" customHeight="true" outlineLevel="0" collapsed="false">
      <c r="B61" s="37" t="s">
        <v>47</v>
      </c>
      <c r="C61" s="38" t="s">
        <v>78</v>
      </c>
      <c r="D61" s="38"/>
      <c r="E61" s="38"/>
      <c r="F61" s="38"/>
      <c r="G61" s="39" t="n">
        <f aca="false">IF($F$139="SIMPLES NACIONAL",0,0.002)</f>
        <v>0.002</v>
      </c>
      <c r="H61" s="124" t="n">
        <f aca="false">ROUND(('em branco'!modulo_1+'em branco'!modulo_2.1)*$G$61,2)</f>
        <v>0</v>
      </c>
    </row>
    <row r="62" customFormat="false" ht="15.75" hidden="false" customHeight="true" outlineLevel="0" collapsed="false">
      <c r="B62" s="41" t="s">
        <v>79</v>
      </c>
      <c r="C62" s="15" t="s">
        <v>80</v>
      </c>
      <c r="D62" s="15"/>
      <c r="E62" s="15"/>
      <c r="F62" s="15"/>
      <c r="G62" s="43" t="n">
        <v>0.08</v>
      </c>
      <c r="H62" s="125" t="n">
        <f aca="false">ROUND(('em branco'!modulo_1+'em branco'!modulo_2.1)*$G$62,2)</f>
        <v>0</v>
      </c>
    </row>
    <row r="63" customFormat="false" ht="15.75" hidden="false" customHeight="true" outlineLevel="0" collapsed="false">
      <c r="B63" s="33" t="s">
        <v>66</v>
      </c>
      <c r="C63" s="33"/>
      <c r="D63" s="33"/>
      <c r="E63" s="33"/>
      <c r="F63" s="33"/>
      <c r="G63" s="51" t="n">
        <f aca="false">SUM($G$54:$G$62)</f>
        <v>0.368</v>
      </c>
      <c r="H63" s="127" t="n">
        <f aca="false">SUM(H54:H62)</f>
        <v>0</v>
      </c>
    </row>
    <row r="64" customFormat="false" ht="15.75" hidden="false" customHeight="true" outlineLevel="0" collapsed="false">
      <c r="H64" s="122"/>
    </row>
    <row r="65" customFormat="false" ht="15.75" hidden="false" customHeight="true" outlineLevel="0" collapsed="false">
      <c r="B65" s="3" t="s">
        <v>81</v>
      </c>
      <c r="C65" s="3"/>
      <c r="D65" s="3"/>
      <c r="E65" s="3"/>
      <c r="F65" s="3"/>
      <c r="G65" s="3"/>
      <c r="H65" s="3"/>
    </row>
    <row r="66" customFormat="false" ht="15.75" hidden="false" customHeight="true" outlineLevel="0" collapsed="false">
      <c r="B66" s="50" t="n">
        <v>44257</v>
      </c>
      <c r="C66" s="34" t="s">
        <v>51</v>
      </c>
      <c r="D66" s="34"/>
      <c r="E66" s="34"/>
      <c r="F66" s="34"/>
      <c r="G66" s="35" t="s">
        <v>82</v>
      </c>
      <c r="H66" s="123" t="s">
        <v>83</v>
      </c>
    </row>
    <row r="67" customFormat="false" ht="15.75" hidden="false" customHeight="true" outlineLevel="0" collapsed="false">
      <c r="B67" s="59" t="s">
        <v>17</v>
      </c>
      <c r="C67" s="45" t="s">
        <v>84</v>
      </c>
      <c r="D67" s="67" t="s">
        <v>85</v>
      </c>
      <c r="E67" s="67"/>
      <c r="F67" s="67"/>
      <c r="G67" s="130" t="n">
        <v>4.98</v>
      </c>
      <c r="H67" s="124" t="n">
        <f aca="false">ROUND('em branco'!dias_trabalhados*$G$67*2,2)</f>
        <v>0</v>
      </c>
    </row>
    <row r="68" customFormat="false" ht="15.75" hidden="false" customHeight="true" outlineLevel="0" collapsed="false">
      <c r="B68" s="59"/>
      <c r="C68" s="38" t="s">
        <v>160</v>
      </c>
      <c r="D68" s="38"/>
      <c r="E68" s="38"/>
      <c r="F68" s="38"/>
      <c r="G68" s="39" t="n">
        <v>0.06</v>
      </c>
      <c r="H68" s="124" t="n">
        <f aca="false">ROUND(-('em branco'!salario_base*$G$68),2)</f>
        <v>0</v>
      </c>
    </row>
    <row r="69" customFormat="false" ht="15.75" hidden="false" customHeight="true" outlineLevel="0" collapsed="false">
      <c r="B69" s="41" t="s">
        <v>19</v>
      </c>
      <c r="C69" s="15" t="s">
        <v>87</v>
      </c>
      <c r="D69" s="70" t="s">
        <v>85</v>
      </c>
      <c r="E69" s="70"/>
      <c r="F69" s="70"/>
      <c r="G69" s="131" t="n">
        <v>9.4</v>
      </c>
      <c r="H69" s="125" t="n">
        <f aca="false">ROUND('em branco'!dias_trabalhados*$G$69,2)</f>
        <v>0</v>
      </c>
    </row>
    <row r="70" customFormat="false" ht="15.75" hidden="false" customHeight="true" outlineLevel="0" collapsed="false">
      <c r="B70" s="41"/>
      <c r="C70" s="15" t="s">
        <v>88</v>
      </c>
      <c r="D70" s="15"/>
      <c r="E70" s="15"/>
      <c r="F70" s="15"/>
      <c r="G70" s="132" t="n">
        <v>0</v>
      </c>
      <c r="H70" s="125" t="n">
        <f aca="false">-H69*G70</f>
        <v>0</v>
      </c>
    </row>
    <row r="71" customFormat="false" ht="15.75" hidden="false" customHeight="true" outlineLevel="0" collapsed="false">
      <c r="B71" s="37" t="s">
        <v>22</v>
      </c>
      <c r="C71" s="38" t="s">
        <v>89</v>
      </c>
      <c r="D71" s="38"/>
      <c r="E71" s="38"/>
      <c r="F71" s="38"/>
      <c r="G71" s="73" t="s">
        <v>90</v>
      </c>
      <c r="H71" s="124" t="n">
        <v>0</v>
      </c>
    </row>
    <row r="72" customFormat="false" ht="15.75" hidden="false" customHeight="true" outlineLevel="0" collapsed="false">
      <c r="B72" s="41" t="s">
        <v>25</v>
      </c>
      <c r="C72" s="15" t="s">
        <v>91</v>
      </c>
      <c r="D72" s="15"/>
      <c r="E72" s="15"/>
      <c r="F72" s="15"/>
      <c r="G72" s="14" t="s">
        <v>90</v>
      </c>
      <c r="H72" s="125" t="n">
        <v>0</v>
      </c>
    </row>
    <row r="73" customFormat="false" ht="15.75" hidden="false" customHeight="true" outlineLevel="0" collapsed="false">
      <c r="B73" s="37" t="s">
        <v>43</v>
      </c>
      <c r="C73" s="38" t="s">
        <v>92</v>
      </c>
      <c r="D73" s="38"/>
      <c r="E73" s="38"/>
      <c r="F73" s="38"/>
      <c r="G73" s="73" t="s">
        <v>90</v>
      </c>
      <c r="H73" s="124" t="n">
        <v>0</v>
      </c>
    </row>
    <row r="74" customFormat="false" ht="15.75" hidden="false" customHeight="true" outlineLevel="0" collapsed="false">
      <c r="B74" s="41" t="s">
        <v>45</v>
      </c>
      <c r="C74" s="15" t="s">
        <v>60</v>
      </c>
      <c r="D74" s="15"/>
      <c r="E74" s="15"/>
      <c r="F74" s="15"/>
      <c r="G74" s="14" t="s">
        <v>90</v>
      </c>
      <c r="H74" s="125" t="n">
        <v>0</v>
      </c>
    </row>
    <row r="75" customFormat="false" ht="15.75" hidden="false" customHeight="true" outlineLevel="0" collapsed="false">
      <c r="B75" s="37" t="s">
        <v>47</v>
      </c>
      <c r="C75" s="38" t="s">
        <v>60</v>
      </c>
      <c r="D75" s="38"/>
      <c r="E75" s="38"/>
      <c r="F75" s="38"/>
      <c r="G75" s="73" t="s">
        <v>90</v>
      </c>
      <c r="H75" s="124" t="n">
        <v>0</v>
      </c>
    </row>
    <row r="76" customFormat="false" ht="15.75" hidden="false" customHeight="true" outlineLevel="0" collapsed="false">
      <c r="B76" s="33" t="s">
        <v>66</v>
      </c>
      <c r="C76" s="33"/>
      <c r="D76" s="33"/>
      <c r="E76" s="33"/>
      <c r="F76" s="33"/>
      <c r="G76" s="33"/>
      <c r="H76" s="127" t="n">
        <f aca="false">SUM($H$67:$H$75)</f>
        <v>0</v>
      </c>
    </row>
    <row r="77" customFormat="false" ht="15.75" hidden="false" customHeight="true" outlineLevel="0" collapsed="false">
      <c r="H77" s="122"/>
    </row>
    <row r="78" customFormat="false" ht="15.75" hidden="false" customHeight="true" outlineLevel="0" collapsed="false">
      <c r="B78" s="3" t="s">
        <v>93</v>
      </c>
      <c r="C78" s="3"/>
      <c r="D78" s="3"/>
      <c r="E78" s="3"/>
      <c r="F78" s="3"/>
      <c r="G78" s="3"/>
      <c r="H78" s="3"/>
    </row>
    <row r="79" customFormat="false" ht="15.75" hidden="false" customHeight="true" outlineLevel="0" collapsed="false">
      <c r="B79" s="50" t="n">
        <v>44653</v>
      </c>
      <c r="C79" s="34" t="s">
        <v>51</v>
      </c>
      <c r="D79" s="34"/>
      <c r="E79" s="34"/>
      <c r="F79" s="34"/>
      <c r="G79" s="35"/>
      <c r="H79" s="123" t="s">
        <v>83</v>
      </c>
    </row>
    <row r="80" customFormat="false" ht="15.75" hidden="false" customHeight="true" outlineLevel="0" collapsed="false">
      <c r="B80" s="37" t="s">
        <v>17</v>
      </c>
      <c r="C80" s="38" t="s">
        <v>94</v>
      </c>
      <c r="D80" s="38"/>
      <c r="E80" s="38"/>
      <c r="F80" s="38"/>
      <c r="G80" s="74" t="n">
        <v>0</v>
      </c>
      <c r="H80" s="124" t="n">
        <f aca="false">('em branco'!modulo_1/220)*1.5*'em branco'!dias_trabalhados*0.5*G80</f>
        <v>0</v>
      </c>
    </row>
    <row r="81" customFormat="false" ht="15.75" hidden="false" customHeight="true" outlineLevel="0" collapsed="false">
      <c r="B81" s="33" t="s">
        <v>66</v>
      </c>
      <c r="C81" s="33"/>
      <c r="D81" s="33"/>
      <c r="E81" s="33"/>
      <c r="F81" s="33"/>
      <c r="G81" s="33"/>
      <c r="H81" s="127" t="n">
        <f aca="false">H80</f>
        <v>0</v>
      </c>
    </row>
    <row r="82" customFormat="false" ht="15.75" hidden="false" customHeight="true" outlineLevel="0" collapsed="false">
      <c r="H82" s="122"/>
    </row>
    <row r="83" customFormat="false" ht="15.75" hidden="false" customHeight="true" outlineLevel="0" collapsed="false">
      <c r="B83" s="3" t="s">
        <v>95</v>
      </c>
      <c r="C83" s="3"/>
      <c r="D83" s="3"/>
      <c r="E83" s="3"/>
      <c r="F83" s="3"/>
      <c r="G83" s="3"/>
      <c r="H83" s="3"/>
    </row>
    <row r="84" customFormat="false" ht="15.75" hidden="false" customHeight="true" outlineLevel="0" collapsed="false">
      <c r="B84" s="33" t="n">
        <v>2</v>
      </c>
      <c r="C84" s="34" t="s">
        <v>51</v>
      </c>
      <c r="D84" s="34"/>
      <c r="E84" s="34"/>
      <c r="F84" s="34"/>
      <c r="G84" s="34"/>
      <c r="H84" s="123" t="s">
        <v>53</v>
      </c>
    </row>
    <row r="85" customFormat="false" ht="15.75" hidden="false" customHeight="true" outlineLevel="0" collapsed="false">
      <c r="B85" s="75" t="n">
        <v>44198</v>
      </c>
      <c r="C85" s="76" t="s">
        <v>96</v>
      </c>
      <c r="D85" s="76"/>
      <c r="E85" s="76"/>
      <c r="F85" s="76"/>
      <c r="G85" s="76"/>
      <c r="H85" s="133" t="n">
        <f aca="false">'em branco'!modulo_2.1</f>
        <v>0</v>
      </c>
    </row>
    <row r="86" customFormat="false" ht="15.75" hidden="false" customHeight="true" outlineLevel="0" collapsed="false">
      <c r="B86" s="78" t="n">
        <v>44229</v>
      </c>
      <c r="C86" s="79" t="s">
        <v>97</v>
      </c>
      <c r="D86" s="79"/>
      <c r="E86" s="79"/>
      <c r="F86" s="79"/>
      <c r="G86" s="79"/>
      <c r="H86" s="134" t="n">
        <f aca="false">'em branco'!modulo_2.2</f>
        <v>0</v>
      </c>
    </row>
    <row r="87" customFormat="false" ht="15.75" hidden="false" customHeight="true" outlineLevel="0" collapsed="false">
      <c r="B87" s="75" t="n">
        <v>44257</v>
      </c>
      <c r="C87" s="76" t="s">
        <v>98</v>
      </c>
      <c r="D87" s="76"/>
      <c r="E87" s="76"/>
      <c r="F87" s="76"/>
      <c r="G87" s="76"/>
      <c r="H87" s="133" t="n">
        <f aca="false">'em branco'!modulo_2.3</f>
        <v>0</v>
      </c>
    </row>
    <row r="88" customFormat="false" ht="15.75" hidden="false" customHeight="true" outlineLevel="0" collapsed="false">
      <c r="B88" s="78" t="n">
        <v>44653</v>
      </c>
      <c r="C88" s="79" t="s">
        <v>99</v>
      </c>
      <c r="D88" s="79"/>
      <c r="E88" s="79"/>
      <c r="F88" s="79"/>
      <c r="G88" s="79"/>
      <c r="H88" s="134" t="n">
        <f aca="false">'em branco'!modulo_2.4</f>
        <v>0</v>
      </c>
    </row>
    <row r="89" customFormat="false" ht="15.75" hidden="false" customHeight="true" outlineLevel="0" collapsed="false">
      <c r="B89" s="48" t="s">
        <v>100</v>
      </c>
      <c r="C89" s="48"/>
      <c r="D89" s="48"/>
      <c r="E89" s="48"/>
      <c r="F89" s="48"/>
      <c r="G89" s="48"/>
      <c r="H89" s="126" t="n">
        <f aca="false">SUM($H$85:$H$88)</f>
        <v>0</v>
      </c>
    </row>
    <row r="90" customFormat="false" ht="15.75" hidden="false" customHeight="true" outlineLevel="0" collapsed="false">
      <c r="H90" s="122"/>
    </row>
    <row r="91" customFormat="false" ht="15.75" hidden="false" customHeight="true" outlineLevel="0" collapsed="false">
      <c r="B91" s="32" t="s">
        <v>101</v>
      </c>
      <c r="C91" s="32"/>
      <c r="D91" s="32"/>
      <c r="E91" s="32"/>
      <c r="F91" s="32"/>
      <c r="G91" s="32"/>
      <c r="H91" s="32"/>
    </row>
    <row r="92" customFormat="false" ht="15.75" hidden="false" customHeight="true" outlineLevel="0" collapsed="false">
      <c r="B92" s="33" t="n">
        <v>3</v>
      </c>
      <c r="C92" s="34" t="s">
        <v>51</v>
      </c>
      <c r="D92" s="34"/>
      <c r="E92" s="34"/>
      <c r="F92" s="34"/>
      <c r="G92" s="35" t="s">
        <v>52</v>
      </c>
      <c r="H92" s="123" t="s">
        <v>53</v>
      </c>
    </row>
    <row r="93" customFormat="false" ht="15.75" hidden="false" customHeight="true" outlineLevel="0" collapsed="false">
      <c r="B93" s="37" t="s">
        <v>17</v>
      </c>
      <c r="C93" s="76" t="s">
        <v>102</v>
      </c>
      <c r="D93" s="76"/>
      <c r="E93" s="76"/>
      <c r="F93" s="76"/>
      <c r="G93" s="39" t="n">
        <f aca="false">(1/12)*0.05</f>
        <v>0.004166666667</v>
      </c>
      <c r="H93" s="124" t="n">
        <f aca="false">ROUND('em branco'!modulo_1*$G$93,2)</f>
        <v>0</v>
      </c>
    </row>
    <row r="94" customFormat="false" ht="15.75" hidden="false" customHeight="true" outlineLevel="0" collapsed="false">
      <c r="B94" s="41" t="s">
        <v>19</v>
      </c>
      <c r="C94" s="15" t="s">
        <v>103</v>
      </c>
      <c r="D94" s="15"/>
      <c r="E94" s="15"/>
      <c r="F94" s="15"/>
      <c r="G94" s="43" t="n">
        <f aca="false">$G$62*$G$93</f>
        <v>0.0003333333333</v>
      </c>
      <c r="H94" s="125" t="n">
        <f aca="false">ROUND('em branco'!modulo_1*$G$94,2)</f>
        <v>0</v>
      </c>
    </row>
    <row r="95" customFormat="false" ht="15.75" hidden="false" customHeight="true" outlineLevel="0" collapsed="false">
      <c r="B95" s="37" t="s">
        <v>22</v>
      </c>
      <c r="C95" s="38" t="s">
        <v>104</v>
      </c>
      <c r="D95" s="38"/>
      <c r="E95" s="38"/>
      <c r="F95" s="38"/>
      <c r="G95" s="39" t="n">
        <f aca="false">((1+2/12)+((1/3)*(1/12)))*0.08*0.4*0.9</f>
        <v>0.0344</v>
      </c>
      <c r="H95" s="124" t="n">
        <f aca="false">ROUND('em branco'!modulo_1*$G$95,2)</f>
        <v>0</v>
      </c>
    </row>
    <row r="96" customFormat="false" ht="15.75" hidden="false" customHeight="true" outlineLevel="0" collapsed="false">
      <c r="B96" s="41" t="s">
        <v>25</v>
      </c>
      <c r="C96" s="79" t="s">
        <v>105</v>
      </c>
      <c r="D96" s="79"/>
      <c r="E96" s="79"/>
      <c r="F96" s="79"/>
      <c r="G96" s="43" t="n">
        <f aca="false">7/30/12</f>
        <v>0.01944444444</v>
      </c>
      <c r="H96" s="125" t="n">
        <f aca="false">ROUND('em branco'!modulo_1*$G$96,2)</f>
        <v>0</v>
      </c>
    </row>
    <row r="97" customFormat="false" ht="15.75" hidden="false" customHeight="true" outlineLevel="0" collapsed="false">
      <c r="B97" s="37" t="s">
        <v>43</v>
      </c>
      <c r="C97" s="38" t="s">
        <v>106</v>
      </c>
      <c r="D97" s="38"/>
      <c r="E97" s="38"/>
      <c r="F97" s="38"/>
      <c r="G97" s="39" t="n">
        <f aca="false">$G$96*$G$63</f>
        <v>0.007155555556</v>
      </c>
      <c r="H97" s="124" t="n">
        <f aca="false">ROUND('em branco'!modulo_1*$G$97,2)</f>
        <v>0</v>
      </c>
    </row>
    <row r="98" customFormat="false" ht="15.75" hidden="false" customHeight="true" outlineLevel="0" collapsed="false">
      <c r="B98" s="41" t="s">
        <v>45</v>
      </c>
      <c r="C98" s="15" t="s">
        <v>107</v>
      </c>
      <c r="D98" s="15"/>
      <c r="E98" s="15"/>
      <c r="F98" s="15"/>
      <c r="G98" s="81" t="n">
        <f aca="false">G96*0.08*0.4</f>
        <v>0.0006222222222</v>
      </c>
      <c r="H98" s="125" t="n">
        <f aca="false">ROUND('em branco'!modulo_1*$G$98,2)</f>
        <v>0</v>
      </c>
    </row>
    <row r="99" customFormat="false" ht="15.75" hidden="false" customHeight="true" outlineLevel="0" collapsed="false">
      <c r="B99" s="48" t="s">
        <v>100</v>
      </c>
      <c r="C99" s="48"/>
      <c r="D99" s="48"/>
      <c r="E99" s="48"/>
      <c r="F99" s="48"/>
      <c r="G99" s="82" t="n">
        <f aca="false">SUM(G93:G98)</f>
        <v>0.06612222222</v>
      </c>
      <c r="H99" s="126" t="n">
        <f aca="false">SUM($H$93:$H$98)</f>
        <v>0</v>
      </c>
    </row>
    <row r="100" customFormat="false" ht="15.75" hidden="false" customHeight="true" outlineLevel="0" collapsed="false">
      <c r="H100" s="122"/>
    </row>
    <row r="101" customFormat="false" ht="15.75" hidden="false" customHeight="true" outlineLevel="0" collapsed="false">
      <c r="B101" s="32" t="s">
        <v>108</v>
      </c>
      <c r="C101" s="32"/>
      <c r="D101" s="32"/>
      <c r="E101" s="32"/>
      <c r="F101" s="32"/>
      <c r="G101" s="32"/>
      <c r="H101" s="32"/>
    </row>
    <row r="102" customFormat="false" ht="15.75" hidden="false" customHeight="true" outlineLevel="0" collapsed="false">
      <c r="B102" s="3" t="s">
        <v>109</v>
      </c>
      <c r="C102" s="3"/>
      <c r="D102" s="3"/>
      <c r="E102" s="3"/>
      <c r="F102" s="3"/>
      <c r="G102" s="3"/>
      <c r="H102" s="3"/>
    </row>
    <row r="103" customFormat="false" ht="15.75" hidden="false" customHeight="true" outlineLevel="0" collapsed="false">
      <c r="B103" s="50" t="n">
        <v>44200</v>
      </c>
      <c r="C103" s="34" t="s">
        <v>51</v>
      </c>
      <c r="D103" s="34"/>
      <c r="E103" s="34"/>
      <c r="F103" s="34"/>
      <c r="G103" s="35" t="s">
        <v>52</v>
      </c>
      <c r="H103" s="123" t="s">
        <v>53</v>
      </c>
    </row>
    <row r="104" customFormat="false" ht="15.75" hidden="false" customHeight="true" outlineLevel="0" collapsed="false">
      <c r="B104" s="37" t="s">
        <v>17</v>
      </c>
      <c r="C104" s="76" t="s">
        <v>110</v>
      </c>
      <c r="D104" s="76"/>
      <c r="E104" s="76"/>
      <c r="F104" s="76"/>
      <c r="G104" s="83" t="n">
        <f aca="false">(((1+1/3)/12)/12)</f>
        <v>0.009259259259</v>
      </c>
      <c r="H104" s="124" t="n">
        <f aca="false">('em branco'!modulo_1+'em branco'!modulo_2+'em branco'!modulo_3)*G104</f>
        <v>0</v>
      </c>
    </row>
    <row r="105" customFormat="false" ht="15.75" hidden="false" customHeight="true" outlineLevel="0" collapsed="false">
      <c r="B105" s="41" t="s">
        <v>19</v>
      </c>
      <c r="C105" s="15" t="s">
        <v>111</v>
      </c>
      <c r="D105" s="15"/>
      <c r="E105" s="15"/>
      <c r="F105" s="15"/>
      <c r="G105" s="43" t="n">
        <f aca="false">1/30/12</f>
        <v>0.002777777778</v>
      </c>
      <c r="H105" s="125" t="n">
        <f aca="false">('em branco'!modulo_1+'em branco'!modulo_2+'em branco'!modulo_3)*G105</f>
        <v>0</v>
      </c>
    </row>
    <row r="106" customFormat="false" ht="15.75" hidden="false" customHeight="true" outlineLevel="0" collapsed="false">
      <c r="B106" s="37" t="s">
        <v>22</v>
      </c>
      <c r="C106" s="38" t="s">
        <v>112</v>
      </c>
      <c r="D106" s="38"/>
      <c r="E106" s="38"/>
      <c r="F106" s="38"/>
      <c r="G106" s="39" t="n">
        <f aca="false">5/30/12*0.03</f>
        <v>0.0004166666667</v>
      </c>
      <c r="H106" s="124" t="n">
        <f aca="false">('em branco'!modulo_1+'em branco'!modulo_2+'em branco'!modulo_3)*G106</f>
        <v>0</v>
      </c>
    </row>
    <row r="107" customFormat="false" ht="15.75" hidden="false" customHeight="true" outlineLevel="0" collapsed="false">
      <c r="B107" s="41" t="s">
        <v>25</v>
      </c>
      <c r="C107" s="79" t="s">
        <v>113</v>
      </c>
      <c r="D107" s="79"/>
      <c r="E107" s="79"/>
      <c r="F107" s="79"/>
      <c r="G107" s="43" t="n">
        <f aca="false">((15/30)/12)*0.065</f>
        <v>0.002708333333</v>
      </c>
      <c r="H107" s="125" t="n">
        <f aca="false">('em branco'!modulo_1+'em branco'!modulo_2+'em branco'!modulo_3)*G107</f>
        <v>0</v>
      </c>
    </row>
    <row r="108" customFormat="false" ht="15.75" hidden="false" customHeight="true" outlineLevel="0" collapsed="false">
      <c r="B108" s="37" t="s">
        <v>43</v>
      </c>
      <c r="C108" s="38" t="s">
        <v>114</v>
      </c>
      <c r="D108" s="38"/>
      <c r="E108" s="38"/>
      <c r="F108" s="38"/>
      <c r="G108" s="39" t="n">
        <f aca="false">((1/3)/12)*0.1*(4/12)</f>
        <v>0.0009259259259</v>
      </c>
      <c r="H108" s="124" t="n">
        <f aca="false">('em branco'!modulo_1+'em branco'!modulo_2+'em branco'!modulo_3)*G108</f>
        <v>0</v>
      </c>
    </row>
    <row r="109" customFormat="false" ht="15.75" hidden="false" customHeight="true" outlineLevel="0" collapsed="false">
      <c r="B109" s="41" t="s">
        <v>45</v>
      </c>
      <c r="C109" s="15" t="s">
        <v>115</v>
      </c>
      <c r="D109" s="15"/>
      <c r="E109" s="15"/>
      <c r="F109" s="15"/>
      <c r="G109" s="43" t="n">
        <v>0.0166</v>
      </c>
      <c r="H109" s="125" t="n">
        <f aca="false">('em branco'!modulo_1+'em branco'!modulo_2+'em branco'!modulo_3)*G109</f>
        <v>0</v>
      </c>
    </row>
    <row r="110" customFormat="false" ht="15.75" hidden="false" customHeight="true" outlineLevel="0" collapsed="false">
      <c r="B110" s="33" t="s">
        <v>66</v>
      </c>
      <c r="C110" s="33"/>
      <c r="D110" s="33"/>
      <c r="E110" s="33"/>
      <c r="F110" s="33"/>
      <c r="G110" s="51" t="n">
        <f aca="false">SUM($G$104:$G$109)</f>
        <v>0.03268796296</v>
      </c>
      <c r="H110" s="127" t="n">
        <f aca="false">SUM($H$104:$H$109)</f>
        <v>0</v>
      </c>
    </row>
    <row r="111" customFormat="false" ht="15.75" hidden="false" customHeight="true" outlineLevel="0" collapsed="false">
      <c r="H111" s="122"/>
    </row>
    <row r="112" customFormat="false" ht="15.75" hidden="false" customHeight="true" outlineLevel="0" collapsed="false">
      <c r="B112" s="3" t="s">
        <v>116</v>
      </c>
      <c r="C112" s="3"/>
      <c r="D112" s="3"/>
      <c r="E112" s="3"/>
      <c r="F112" s="3"/>
      <c r="G112" s="3"/>
      <c r="H112" s="3"/>
    </row>
    <row r="113" customFormat="false" ht="15.75" hidden="false" customHeight="true" outlineLevel="0" collapsed="false">
      <c r="B113" s="50" t="n">
        <v>44231</v>
      </c>
      <c r="C113" s="34" t="s">
        <v>51</v>
      </c>
      <c r="D113" s="34"/>
      <c r="E113" s="34"/>
      <c r="F113" s="34"/>
      <c r="G113" s="35"/>
      <c r="H113" s="123" t="s">
        <v>53</v>
      </c>
    </row>
    <row r="114" customFormat="false" ht="15.75" hidden="false" customHeight="true" outlineLevel="0" collapsed="false">
      <c r="B114" s="37" t="s">
        <v>17</v>
      </c>
      <c r="C114" s="38" t="s">
        <v>117</v>
      </c>
      <c r="D114" s="38"/>
      <c r="E114" s="38"/>
      <c r="F114" s="38"/>
      <c r="G114" s="74" t="n">
        <v>0</v>
      </c>
      <c r="H114" s="124" t="n">
        <f aca="false">(('em branco'!modulo_1+'em branco'!modulo_2+'em branco'!modulo_3)/220)*1*'em branco'!dias_trabalhados*G114</f>
        <v>0</v>
      </c>
    </row>
    <row r="115" customFormat="false" ht="15.75" hidden="false" customHeight="true" outlineLevel="0" collapsed="false">
      <c r="B115" s="33" t="s">
        <v>66</v>
      </c>
      <c r="C115" s="33"/>
      <c r="D115" s="33"/>
      <c r="E115" s="33"/>
      <c r="F115" s="33"/>
      <c r="G115" s="84"/>
      <c r="H115" s="127" t="n">
        <f aca="false">SUM($H$114)</f>
        <v>0</v>
      </c>
    </row>
    <row r="116" customFormat="false" ht="15.75" hidden="false" customHeight="true" outlineLevel="0" collapsed="false">
      <c r="H116" s="122"/>
    </row>
    <row r="117" customFormat="false" ht="15.75" hidden="false" customHeight="true" outlineLevel="0" collapsed="false">
      <c r="B117" s="3" t="s">
        <v>118</v>
      </c>
      <c r="C117" s="3"/>
      <c r="D117" s="3"/>
      <c r="E117" s="3"/>
      <c r="F117" s="3"/>
      <c r="G117" s="3"/>
      <c r="H117" s="3"/>
    </row>
    <row r="118" customFormat="false" ht="15.75" hidden="false" customHeight="true" outlineLevel="0" collapsed="false">
      <c r="B118" s="33" t="n">
        <v>4</v>
      </c>
      <c r="C118" s="34" t="s">
        <v>51</v>
      </c>
      <c r="D118" s="34"/>
      <c r="E118" s="34"/>
      <c r="F118" s="34"/>
      <c r="G118" s="35" t="s">
        <v>52</v>
      </c>
      <c r="H118" s="123" t="s">
        <v>53</v>
      </c>
    </row>
    <row r="119" customFormat="false" ht="15.75" hidden="false" customHeight="true" outlineLevel="0" collapsed="false">
      <c r="B119" s="75" t="n">
        <v>44200</v>
      </c>
      <c r="C119" s="76" t="s">
        <v>119</v>
      </c>
      <c r="D119" s="76"/>
      <c r="E119" s="76"/>
      <c r="F119" s="76"/>
      <c r="G119" s="85" t="n">
        <f aca="false">$G$110</f>
        <v>0.03268796296</v>
      </c>
      <c r="H119" s="133" t="n">
        <f aca="false">'em branco'!modulo_4.1</f>
        <v>0</v>
      </c>
    </row>
    <row r="120" customFormat="false" ht="15.75" hidden="false" customHeight="true" outlineLevel="0" collapsed="false">
      <c r="B120" s="78" t="n">
        <v>44231</v>
      </c>
      <c r="C120" s="79" t="s">
        <v>120</v>
      </c>
      <c r="D120" s="79"/>
      <c r="E120" s="79"/>
      <c r="F120" s="79"/>
      <c r="G120" s="86" t="n">
        <f aca="false">$G$115</f>
        <v>0</v>
      </c>
      <c r="H120" s="134" t="n">
        <f aca="false">'em branco'!modulo_4.2</f>
        <v>0</v>
      </c>
    </row>
    <row r="121" customFormat="false" ht="15.75" hidden="false" customHeight="true" outlineLevel="0" collapsed="false">
      <c r="B121" s="48" t="s">
        <v>121</v>
      </c>
      <c r="C121" s="48"/>
      <c r="D121" s="48"/>
      <c r="E121" s="48"/>
      <c r="F121" s="48"/>
      <c r="G121" s="48"/>
      <c r="H121" s="126" t="n">
        <f aca="false">SUM($H$119:$H$120)</f>
        <v>0</v>
      </c>
    </row>
    <row r="122" customFormat="false" ht="15.75" hidden="false" customHeight="true" outlineLevel="0" collapsed="false">
      <c r="H122" s="122"/>
    </row>
    <row r="123" customFormat="false" ht="15.75" hidden="false" customHeight="true" outlineLevel="0" collapsed="false">
      <c r="B123" s="32" t="s">
        <v>122</v>
      </c>
      <c r="C123" s="32"/>
      <c r="D123" s="32"/>
      <c r="E123" s="32"/>
      <c r="F123" s="32"/>
      <c r="G123" s="32"/>
      <c r="H123" s="32"/>
    </row>
    <row r="124" customFormat="false" ht="15.75" hidden="false" customHeight="true" outlineLevel="0" collapsed="false">
      <c r="B124" s="33" t="n">
        <v>5</v>
      </c>
      <c r="C124" s="34" t="s">
        <v>51</v>
      </c>
      <c r="D124" s="34"/>
      <c r="E124" s="34"/>
      <c r="F124" s="34"/>
      <c r="G124" s="34"/>
      <c r="H124" s="123" t="s">
        <v>83</v>
      </c>
    </row>
    <row r="125" customFormat="false" ht="15.75" hidden="false" customHeight="true" outlineLevel="0" collapsed="false">
      <c r="B125" s="37" t="s">
        <v>17</v>
      </c>
      <c r="C125" s="38" t="s">
        <v>123</v>
      </c>
      <c r="D125" s="38"/>
      <c r="E125" s="38"/>
      <c r="F125" s="38"/>
      <c r="G125" s="38"/>
      <c r="H125" s="135" t="n">
        <v>0</v>
      </c>
    </row>
    <row r="126" customFormat="false" ht="15.75" hidden="false" customHeight="true" outlineLevel="0" collapsed="false">
      <c r="B126" s="41" t="s">
        <v>19</v>
      </c>
      <c r="C126" s="15" t="s">
        <v>124</v>
      </c>
      <c r="D126" s="15"/>
      <c r="E126" s="15"/>
      <c r="F126" s="15"/>
      <c r="G126" s="15"/>
      <c r="H126" s="136" t="n">
        <v>0</v>
      </c>
    </row>
    <row r="127" customFormat="false" ht="15.75" hidden="false" customHeight="true" outlineLevel="0" collapsed="false">
      <c r="B127" s="37" t="s">
        <v>22</v>
      </c>
      <c r="C127" s="38" t="s">
        <v>125</v>
      </c>
      <c r="D127" s="38"/>
      <c r="E127" s="38"/>
      <c r="F127" s="38"/>
      <c r="G127" s="38"/>
      <c r="H127" s="135" t="n">
        <v>0</v>
      </c>
    </row>
    <row r="128" customFormat="false" ht="15.75" hidden="false" customHeight="true" outlineLevel="0" collapsed="false">
      <c r="B128" s="41" t="s">
        <v>25</v>
      </c>
      <c r="C128" s="15" t="s">
        <v>60</v>
      </c>
      <c r="D128" s="15"/>
      <c r="E128" s="15"/>
      <c r="F128" s="15"/>
      <c r="G128" s="15"/>
      <c r="H128" s="136" t="n">
        <v>0</v>
      </c>
    </row>
    <row r="129" customFormat="false" ht="15.75" hidden="false" customHeight="true" outlineLevel="0" collapsed="false">
      <c r="B129" s="37" t="s">
        <v>43</v>
      </c>
      <c r="C129" s="38" t="s">
        <v>60</v>
      </c>
      <c r="D129" s="38"/>
      <c r="E129" s="38"/>
      <c r="F129" s="38"/>
      <c r="G129" s="38"/>
      <c r="H129" s="135" t="n">
        <v>0</v>
      </c>
    </row>
    <row r="130" customFormat="false" ht="15.75" hidden="false" customHeight="true" outlineLevel="0" collapsed="false">
      <c r="B130" s="41" t="s">
        <v>45</v>
      </c>
      <c r="C130" s="15" t="s">
        <v>60</v>
      </c>
      <c r="D130" s="15"/>
      <c r="E130" s="15"/>
      <c r="F130" s="15"/>
      <c r="G130" s="15"/>
      <c r="H130" s="136" t="n">
        <v>0</v>
      </c>
    </row>
    <row r="131" customFormat="false" ht="15.75" hidden="false" customHeight="true" outlineLevel="0" collapsed="false">
      <c r="B131" s="48" t="s">
        <v>100</v>
      </c>
      <c r="C131" s="48"/>
      <c r="D131" s="48"/>
      <c r="E131" s="48"/>
      <c r="F131" s="48"/>
      <c r="G131" s="48"/>
      <c r="H131" s="126" t="n">
        <f aca="false">SUM($H$125:$H$130)</f>
        <v>0</v>
      </c>
    </row>
    <row r="132" customFormat="false" ht="15.75" hidden="false" customHeight="true" outlineLevel="0" collapsed="false">
      <c r="H132" s="122"/>
    </row>
    <row r="133" customFormat="false" ht="15.75" hidden="false" customHeight="true" outlineLevel="0" collapsed="false">
      <c r="A133" s="89"/>
      <c r="B133" s="3"/>
      <c r="C133" s="90" t="s">
        <v>126</v>
      </c>
      <c r="D133" s="90"/>
      <c r="E133" s="90"/>
      <c r="F133" s="90"/>
      <c r="G133" s="91" t="n">
        <f aca="false">SUM(G50,G63,G99,G110)</f>
        <v>0.6612546296</v>
      </c>
      <c r="H133" s="137"/>
    </row>
    <row r="134" customFormat="false" ht="15.75" hidden="false" customHeight="true" outlineLevel="0" collapsed="false">
      <c r="H134" s="122"/>
    </row>
    <row r="135" customFormat="false" ht="15.75" hidden="false" customHeight="true" outlineLevel="0" collapsed="false">
      <c r="B135" s="92" t="s">
        <v>127</v>
      </c>
      <c r="C135" s="92"/>
      <c r="D135" s="92"/>
      <c r="E135" s="92"/>
      <c r="F135" s="92"/>
      <c r="G135" s="92"/>
      <c r="H135" s="92"/>
    </row>
    <row r="136" customFormat="false" ht="15.75" hidden="false" customHeight="true" outlineLevel="0" collapsed="false">
      <c r="B136" s="93" t="n">
        <v>6</v>
      </c>
      <c r="C136" s="94" t="s">
        <v>51</v>
      </c>
      <c r="D136" s="94"/>
      <c r="E136" s="94"/>
      <c r="F136" s="94"/>
      <c r="G136" s="95" t="s">
        <v>52</v>
      </c>
      <c r="H136" s="138" t="s">
        <v>53</v>
      </c>
    </row>
    <row r="137" customFormat="false" ht="15.75" hidden="false" customHeight="true" outlineLevel="0" collapsed="false">
      <c r="B137" s="97" t="s">
        <v>17</v>
      </c>
      <c r="C137" s="98" t="s">
        <v>128</v>
      </c>
      <c r="D137" s="98"/>
      <c r="E137" s="98"/>
      <c r="F137" s="98"/>
      <c r="G137" s="99" t="n">
        <v>0.05</v>
      </c>
      <c r="H137" s="128" t="n">
        <f aca="false">('em branco'!modulo_1+'em branco'!modulo_2+'em branco'!modulo_3+'em branco'!modulo_4+'em branco'!modulo_5)*G137</f>
        <v>0</v>
      </c>
    </row>
    <row r="138" customFormat="false" ht="15.75" hidden="false" customHeight="true" outlineLevel="0" collapsed="false">
      <c r="B138" s="100" t="s">
        <v>19</v>
      </c>
      <c r="C138" s="101" t="s">
        <v>129</v>
      </c>
      <c r="D138" s="101"/>
      <c r="E138" s="101"/>
      <c r="F138" s="101"/>
      <c r="G138" s="102" t="n">
        <v>0.1</v>
      </c>
      <c r="H138" s="139" t="n">
        <f aca="false">('em branco'!modulo_1+'em branco'!modulo_2+'em branco'!modulo_3+'em branco'!modulo_4+'em branco'!modulo_5+'em branco'!custo_indireto)*G138</f>
        <v>0</v>
      </c>
    </row>
    <row r="139" customFormat="false" ht="15.75" hidden="false" customHeight="true" outlineLevel="0" collapsed="false">
      <c r="A139" s="8"/>
      <c r="B139" s="97" t="s">
        <v>130</v>
      </c>
      <c r="C139" s="104" t="s">
        <v>131</v>
      </c>
      <c r="D139" s="98" t="s">
        <v>132</v>
      </c>
      <c r="E139" s="98"/>
      <c r="F139" s="56" t="s">
        <v>133</v>
      </c>
      <c r="G139" s="105" t="n">
        <f aca="false">SUM($G$140:$G$142)</f>
        <v>0.0925</v>
      </c>
      <c r="H139" s="140" t="n">
        <f aca="false">SUM($H$140:$H$142)</f>
        <v>0</v>
      </c>
    </row>
    <row r="140" customFormat="false" ht="31.5" hidden="false" customHeight="true" outlineLevel="0" collapsed="false">
      <c r="A140" s="30"/>
      <c r="B140" s="107" t="s">
        <v>134</v>
      </c>
      <c r="C140" s="26" t="s">
        <v>135</v>
      </c>
      <c r="D140" s="108" t="str">
        <f aca="false">ifs($F$139="LUCRO REAL","A licitante deve informar a alíquota ajustada conforme apuração do percentual médio de recolhimento, em consonância com a legislação fiscal vigente",$F$139="SIMPLES NACIONAL","A licitante DATA() informar a alíquota efetiva, conforme cálculo previsto na Lei Complementar 123/2006",$F$139="LUCRO PRESUMIDO","")</f>
        <v>A licitante deve informar a alíquota ajustada conforme apuração do percentual médio de recolhimento, em consonância com a legislação fiscal vigente</v>
      </c>
      <c r="E140" s="108"/>
      <c r="F140" s="108"/>
      <c r="G140" s="109" t="n">
        <f aca="false">ifs($F$139="LUCRO REAL",0.0165,$F$139="SIMPLES NACIONAL",0.007,$F$139="LUCRO PRESUMIDO",0.0065)</f>
        <v>0.0165</v>
      </c>
      <c r="H140" s="139" t="n">
        <f aca="false">('em branco'!modulo_1+'em branco'!modulo_2+'em branco'!modulo_3+'em branco'!modulo_4+'em branco'!modulo_5+'em branco'!custo_indireto+'em branco'!lucro)/(1-($G$140+G141+$G$144))*$G$140</f>
        <v>0</v>
      </c>
    </row>
    <row r="141" customFormat="false" ht="31.5" hidden="false" customHeight="true" outlineLevel="0" collapsed="false">
      <c r="A141" s="30"/>
      <c r="B141" s="53" t="s">
        <v>136</v>
      </c>
      <c r="C141" s="54" t="s">
        <v>137</v>
      </c>
      <c r="D141" s="110" t="str">
        <f aca="false">ifs($F$139="LUCRO REAL","A licitante deve informar a alíquota ajustada conforme apuração do percentual médio de recolhimento, em consonância com a legislação fiscal vigente",$F$139="SIMPLES NACIONAL","A licitante deve informar a alíquota efetiva, conforme cálculo previsto na Lei Complementar 123/2006",$F$139="LUCRO PRESUMIDO","")</f>
        <v>A licitante deve informar a alíquota ajustada conforme apuração do percentual médio de recolhimento, em consonância com a legislação fiscal vigente</v>
      </c>
      <c r="E141" s="110"/>
      <c r="F141" s="110"/>
      <c r="G141" s="57" t="n">
        <f aca="false">ifs($F$139="LUCRO REAL",0.076,$F$139="SIMPLES NACIONAL",0.0324,$F$139="LUCRO PRESUMIDO",0.03)</f>
        <v>0.076</v>
      </c>
      <c r="H141" s="128" t="n">
        <f aca="false">('em branco'!modulo_1+'em branco'!modulo_2+'em branco'!modulo_3+'em branco'!modulo_4+'em branco'!modulo_5+'em branco'!custo_indireto+'em branco'!lucro)/(1-($G$140+G141+$G$144))*$G$141</f>
        <v>0</v>
      </c>
    </row>
    <row r="142" customFormat="false" ht="15.75" hidden="false" customHeight="true" outlineLevel="0" collapsed="false">
      <c r="B142" s="107" t="s">
        <v>138</v>
      </c>
      <c r="C142" s="111" t="str">
        <f aca="false">IF(E54="SIM","Licitante deve informar alíquota CPRB (Contribuição Previdenciária sobre a Receita Bruta) conforme Lei 12.546/2011","Outros (especificar)")</f>
        <v>Outros (especificar)</v>
      </c>
      <c r="D142" s="111"/>
      <c r="E142" s="111"/>
      <c r="F142" s="111"/>
      <c r="G142" s="109" t="n">
        <f aca="false">IF(E54="SIM",0.045,0)</f>
        <v>0</v>
      </c>
      <c r="H142" s="141" t="n">
        <f aca="false">IF(E54="NÃO",('em branco'!modulo_1+'em branco'!modulo_2+'em branco'!modulo_3+'em branco'!modulo_4+'em branco'!modulo_5+'em branco'!custo_indireto+'em branco'!lucro)*G142,"INFORMAR")</f>
        <v>0</v>
      </c>
    </row>
    <row r="143" customFormat="false" ht="15.75" hidden="false" customHeight="true" outlineLevel="0" collapsed="false">
      <c r="A143" s="8"/>
      <c r="B143" s="97" t="s">
        <v>139</v>
      </c>
      <c r="C143" s="98" t="s">
        <v>140</v>
      </c>
      <c r="D143" s="98"/>
      <c r="E143" s="98"/>
      <c r="F143" s="98"/>
      <c r="G143" s="105" t="n">
        <f aca="false">SUM($G$144)</f>
        <v>0.05</v>
      </c>
      <c r="H143" s="140" t="n">
        <f aca="false">SUM($H$144)</f>
        <v>0</v>
      </c>
    </row>
    <row r="144" customFormat="false" ht="15.75" hidden="false" customHeight="true" outlineLevel="0" collapsed="false">
      <c r="B144" s="107" t="s">
        <v>141</v>
      </c>
      <c r="C144" s="26" t="s">
        <v>142</v>
      </c>
      <c r="D144" s="26"/>
      <c r="E144" s="26"/>
      <c r="F144" s="26"/>
      <c r="G144" s="109" t="n">
        <v>0.05</v>
      </c>
      <c r="H144" s="139" t="n">
        <f aca="false">('em branco'!modulo_1+'em branco'!modulo_2+'em branco'!modulo_3+'em branco'!modulo_4+'em branco'!modulo_5+'em branco'!custo_indireto+'em branco'!lucro)/(1-($G$140+G141+$G$144))*$G$144</f>
        <v>0</v>
      </c>
    </row>
    <row r="145" customFormat="false" ht="15.75" hidden="false" customHeight="true" outlineLevel="0" collapsed="false">
      <c r="B145" s="113" t="s">
        <v>121</v>
      </c>
      <c r="C145" s="113"/>
      <c r="D145" s="113"/>
      <c r="E145" s="113"/>
      <c r="F145" s="113"/>
      <c r="G145" s="114" t="n">
        <f aca="false">(1+G137)*(1+G138)/(1-(G139+G143))-1</f>
        <v>0.3469387755</v>
      </c>
      <c r="H145" s="142" t="n">
        <f aca="false">SUM('em branco'!custo_indireto,'em branco'!lucro,$H$139,$H$143)</f>
        <v>0</v>
      </c>
    </row>
    <row r="146" customFormat="false" ht="15.75" hidden="false" customHeight="true" outlineLevel="0" collapsed="false">
      <c r="H146" s="122"/>
    </row>
    <row r="147" customFormat="false" ht="15.75" hidden="false" customHeight="true" outlineLevel="0" collapsed="false">
      <c r="B147" s="116" t="s">
        <v>143</v>
      </c>
      <c r="C147" s="116"/>
      <c r="D147" s="116"/>
      <c r="E147" s="116"/>
      <c r="F147" s="116"/>
      <c r="G147" s="116"/>
      <c r="H147" s="116"/>
    </row>
    <row r="148" customFormat="false" ht="15.75" hidden="false" customHeight="true" outlineLevel="0" collapsed="false">
      <c r="B148" s="34" t="s">
        <v>144</v>
      </c>
      <c r="C148" s="34"/>
      <c r="D148" s="34"/>
      <c r="E148" s="34"/>
      <c r="F148" s="34"/>
      <c r="G148" s="34"/>
      <c r="H148" s="123" t="s">
        <v>53</v>
      </c>
    </row>
    <row r="149" customFormat="false" ht="15.75" hidden="false" customHeight="true" outlineLevel="0" collapsed="false">
      <c r="B149" s="37" t="s">
        <v>17</v>
      </c>
      <c r="C149" s="38" t="s">
        <v>145</v>
      </c>
      <c r="D149" s="38"/>
      <c r="E149" s="38"/>
      <c r="F149" s="38"/>
      <c r="G149" s="38"/>
      <c r="H149" s="124" t="n">
        <f aca="false">'em branco'!modulo_1</f>
        <v>0</v>
      </c>
    </row>
    <row r="150" customFormat="false" ht="15.75" hidden="false" customHeight="true" outlineLevel="0" collapsed="false">
      <c r="B150" s="41" t="s">
        <v>19</v>
      </c>
      <c r="C150" s="15" t="s">
        <v>146</v>
      </c>
      <c r="D150" s="15"/>
      <c r="E150" s="15"/>
      <c r="F150" s="15"/>
      <c r="G150" s="15"/>
      <c r="H150" s="125" t="n">
        <f aca="false">'em branco'!modulo_2</f>
        <v>0</v>
      </c>
    </row>
    <row r="151" customFormat="false" ht="15.75" hidden="false" customHeight="true" outlineLevel="0" collapsed="false">
      <c r="B151" s="37" t="s">
        <v>22</v>
      </c>
      <c r="C151" s="38" t="s">
        <v>147</v>
      </c>
      <c r="D151" s="38"/>
      <c r="E151" s="38"/>
      <c r="F151" s="38"/>
      <c r="G151" s="38"/>
      <c r="H151" s="124" t="n">
        <f aca="false">'em branco'!modulo_3</f>
        <v>0</v>
      </c>
    </row>
    <row r="152" customFormat="false" ht="15.75" hidden="false" customHeight="true" outlineLevel="0" collapsed="false">
      <c r="B152" s="41" t="s">
        <v>25</v>
      </c>
      <c r="C152" s="15" t="s">
        <v>148</v>
      </c>
      <c r="D152" s="15"/>
      <c r="E152" s="15"/>
      <c r="F152" s="15"/>
      <c r="G152" s="15"/>
      <c r="H152" s="125" t="n">
        <f aca="false">'em branco'!modulo_4</f>
        <v>0</v>
      </c>
    </row>
    <row r="153" customFormat="false" ht="15.75" hidden="false" customHeight="true" outlineLevel="0" collapsed="false">
      <c r="B153" s="37" t="s">
        <v>43</v>
      </c>
      <c r="C153" s="38" t="s">
        <v>149</v>
      </c>
      <c r="D153" s="38"/>
      <c r="E153" s="38"/>
      <c r="F153" s="38"/>
      <c r="G153" s="38"/>
      <c r="H153" s="124" t="n">
        <f aca="false">'em branco'!modulo_5</f>
        <v>0</v>
      </c>
    </row>
    <row r="154" customFormat="false" ht="15.75" hidden="false" customHeight="true" outlineLevel="0" collapsed="false">
      <c r="B154" s="117" t="s">
        <v>150</v>
      </c>
      <c r="C154" s="117"/>
      <c r="D154" s="117"/>
      <c r="E154" s="117"/>
      <c r="F154" s="117"/>
      <c r="G154" s="117"/>
      <c r="H154" s="143" t="n">
        <f aca="false">SUM($H$149:$H$153)</f>
        <v>0</v>
      </c>
    </row>
    <row r="155" customFormat="false" ht="15.75" hidden="false" customHeight="true" outlineLevel="0" collapsed="false">
      <c r="B155" s="37" t="s">
        <v>45</v>
      </c>
      <c r="C155" s="38" t="s">
        <v>151</v>
      </c>
      <c r="D155" s="38"/>
      <c r="E155" s="38"/>
      <c r="F155" s="38"/>
      <c r="G155" s="38"/>
      <c r="H155" s="124" t="n">
        <f aca="false">'em branco'!modulo_6</f>
        <v>0</v>
      </c>
    </row>
    <row r="156" customFormat="false" ht="15.75" hidden="false" customHeight="true" outlineLevel="0" collapsed="false">
      <c r="B156" s="119" t="s">
        <v>152</v>
      </c>
      <c r="C156" s="119"/>
      <c r="D156" s="119"/>
      <c r="E156" s="119"/>
      <c r="F156" s="119"/>
      <c r="G156" s="119"/>
      <c r="H156" s="144" t="n">
        <f aca="false">SUM($H$154:$H$155)</f>
        <v>0</v>
      </c>
    </row>
    <row r="157" customFormat="false" ht="15.75" hidden="false" customHeight="true" outlineLevel="0" collapsed="false">
      <c r="B157" s="119" t="s">
        <v>153</v>
      </c>
      <c r="C157" s="119"/>
      <c r="D157" s="119"/>
      <c r="E157" s="121" t="n">
        <f aca="false">$D$22</f>
        <v>1</v>
      </c>
      <c r="F157" s="119" t="s">
        <v>154</v>
      </c>
      <c r="G157" s="119"/>
      <c r="H157" s="144" t="n">
        <f aca="false">$H$156*$E$157</f>
        <v>0</v>
      </c>
    </row>
    <row r="158" customFormat="false" ht="15.75" hidden="false" customHeight="true" outlineLevel="0" collapsed="false">
      <c r="B158" s="119" t="s">
        <v>155</v>
      </c>
      <c r="C158" s="119"/>
      <c r="D158" s="119"/>
      <c r="E158" s="121" t="n">
        <f aca="false">$G$22</f>
        <v>1</v>
      </c>
      <c r="F158" s="119" t="s">
        <v>156</v>
      </c>
      <c r="G158" s="119"/>
      <c r="H158" s="144" t="n">
        <f aca="false">$H$157*$E$158</f>
        <v>0</v>
      </c>
    </row>
    <row r="159" customFormat="false" ht="15.75" hidden="false" customHeight="true" outlineLevel="0" collapsed="false">
      <c r="B159" s="119" t="s">
        <v>157</v>
      </c>
      <c r="C159" s="119"/>
      <c r="D159" s="119"/>
      <c r="E159" s="119"/>
      <c r="F159" s="119"/>
      <c r="G159" s="119"/>
      <c r="H159" s="144" t="n">
        <f aca="false">$H$158*$G$18</f>
        <v>0</v>
      </c>
    </row>
  </sheetData>
  <mergeCells count="167">
    <mergeCell ref="B2:H2"/>
    <mergeCell ref="B3:H3"/>
    <mergeCell ref="B4:H4"/>
    <mergeCell ref="B5:H5"/>
    <mergeCell ref="B6:E6"/>
    <mergeCell ref="F6:H6"/>
    <mergeCell ref="B7:H7"/>
    <mergeCell ref="B8:H8"/>
    <mergeCell ref="B9:H9"/>
    <mergeCell ref="B10:C10"/>
    <mergeCell ref="D10:F10"/>
    <mergeCell ref="G10:H10"/>
    <mergeCell ref="B11:C11"/>
    <mergeCell ref="D11:E11"/>
    <mergeCell ref="F11:H11"/>
    <mergeCell ref="B12:E12"/>
    <mergeCell ref="F12:H12"/>
    <mergeCell ref="B14:H14"/>
    <mergeCell ref="C15:F15"/>
    <mergeCell ref="G15:H15"/>
    <mergeCell ref="C16:F16"/>
    <mergeCell ref="G16:H16"/>
    <mergeCell ref="C17:F17"/>
    <mergeCell ref="G17:H17"/>
    <mergeCell ref="C18:F18"/>
    <mergeCell ref="G18:H18"/>
    <mergeCell ref="B20:H20"/>
    <mergeCell ref="B21:C21"/>
    <mergeCell ref="D21:E21"/>
    <mergeCell ref="G21:H21"/>
    <mergeCell ref="B22:C22"/>
    <mergeCell ref="D22:E22"/>
    <mergeCell ref="G22:H22"/>
    <mergeCell ref="B24:H24"/>
    <mergeCell ref="B25:H25"/>
    <mergeCell ref="B26:H26"/>
    <mergeCell ref="C27:F27"/>
    <mergeCell ref="G27:H27"/>
    <mergeCell ref="C28:F28"/>
    <mergeCell ref="G28:H28"/>
    <mergeCell ref="C29:F29"/>
    <mergeCell ref="G29:H29"/>
    <mergeCell ref="C30:F30"/>
    <mergeCell ref="G30:H30"/>
    <mergeCell ref="C31:F31"/>
    <mergeCell ref="G31:H31"/>
    <mergeCell ref="C32:F32"/>
    <mergeCell ref="G32:H32"/>
    <mergeCell ref="C33:F33"/>
    <mergeCell ref="G33:H33"/>
    <mergeCell ref="B35:H35"/>
    <mergeCell ref="C36:F36"/>
    <mergeCell ref="C37:F37"/>
    <mergeCell ref="E38:F38"/>
    <mergeCell ref="E39:F39"/>
    <mergeCell ref="E40:F40"/>
    <mergeCell ref="C41:F41"/>
    <mergeCell ref="C42:F42"/>
    <mergeCell ref="B43:G43"/>
    <mergeCell ref="B45:H45"/>
    <mergeCell ref="B46:H46"/>
    <mergeCell ref="C47:F47"/>
    <mergeCell ref="C48:F48"/>
    <mergeCell ref="C49:F49"/>
    <mergeCell ref="B50:F50"/>
    <mergeCell ref="B52:H52"/>
    <mergeCell ref="C53:F53"/>
    <mergeCell ref="C55:F55"/>
    <mergeCell ref="B56:B57"/>
    <mergeCell ref="C56:C57"/>
    <mergeCell ref="D56:F56"/>
    <mergeCell ref="G56:G57"/>
    <mergeCell ref="H56:H57"/>
    <mergeCell ref="C58:F58"/>
    <mergeCell ref="C59:F59"/>
    <mergeCell ref="C60:F60"/>
    <mergeCell ref="C61:F61"/>
    <mergeCell ref="C62:F62"/>
    <mergeCell ref="B63:F63"/>
    <mergeCell ref="B65:H65"/>
    <mergeCell ref="C66:F66"/>
    <mergeCell ref="B67:B68"/>
    <mergeCell ref="D67:F67"/>
    <mergeCell ref="C68:F68"/>
    <mergeCell ref="D69:F69"/>
    <mergeCell ref="C70:F70"/>
    <mergeCell ref="C71:F71"/>
    <mergeCell ref="C72:F72"/>
    <mergeCell ref="C73:F73"/>
    <mergeCell ref="C74:F74"/>
    <mergeCell ref="C75:F75"/>
    <mergeCell ref="B76:G76"/>
    <mergeCell ref="B78:H78"/>
    <mergeCell ref="C79:F79"/>
    <mergeCell ref="C80:F80"/>
    <mergeCell ref="B81:G81"/>
    <mergeCell ref="B83:H83"/>
    <mergeCell ref="C84:G84"/>
    <mergeCell ref="C85:G85"/>
    <mergeCell ref="C86:G86"/>
    <mergeCell ref="C87:G87"/>
    <mergeCell ref="C88:G88"/>
    <mergeCell ref="B89:G89"/>
    <mergeCell ref="B91:H91"/>
    <mergeCell ref="C92:F92"/>
    <mergeCell ref="C93:F93"/>
    <mergeCell ref="C94:F94"/>
    <mergeCell ref="C95:F95"/>
    <mergeCell ref="C96:F96"/>
    <mergeCell ref="C97:F97"/>
    <mergeCell ref="C98:F98"/>
    <mergeCell ref="B99:F99"/>
    <mergeCell ref="B101:H101"/>
    <mergeCell ref="B102:H102"/>
    <mergeCell ref="C103:F103"/>
    <mergeCell ref="C104:F104"/>
    <mergeCell ref="C105:F105"/>
    <mergeCell ref="C106:F106"/>
    <mergeCell ref="C107:F107"/>
    <mergeCell ref="C108:F108"/>
    <mergeCell ref="C109:F109"/>
    <mergeCell ref="B110:F110"/>
    <mergeCell ref="B112:H112"/>
    <mergeCell ref="C113:F113"/>
    <mergeCell ref="C114:F114"/>
    <mergeCell ref="B115:F115"/>
    <mergeCell ref="B117:H117"/>
    <mergeCell ref="C118:F118"/>
    <mergeCell ref="C119:F119"/>
    <mergeCell ref="C120:F120"/>
    <mergeCell ref="B121:G121"/>
    <mergeCell ref="B123:H123"/>
    <mergeCell ref="C124:G124"/>
    <mergeCell ref="C125:G125"/>
    <mergeCell ref="C126:G126"/>
    <mergeCell ref="C127:G127"/>
    <mergeCell ref="C128:G128"/>
    <mergeCell ref="C129:G129"/>
    <mergeCell ref="C130:G130"/>
    <mergeCell ref="B131:G131"/>
    <mergeCell ref="C133:F133"/>
    <mergeCell ref="B135:H135"/>
    <mergeCell ref="C136:F136"/>
    <mergeCell ref="C137:F137"/>
    <mergeCell ref="C138:F138"/>
    <mergeCell ref="D139:E139"/>
    <mergeCell ref="D140:F140"/>
    <mergeCell ref="D141:F141"/>
    <mergeCell ref="C142:F142"/>
    <mergeCell ref="C143:F143"/>
    <mergeCell ref="C144:F144"/>
    <mergeCell ref="B145:F145"/>
    <mergeCell ref="B147:H147"/>
    <mergeCell ref="B148:G148"/>
    <mergeCell ref="C149:G149"/>
    <mergeCell ref="C150:G150"/>
    <mergeCell ref="C151:G151"/>
    <mergeCell ref="C152:G152"/>
    <mergeCell ref="C153:G153"/>
    <mergeCell ref="B154:G154"/>
    <mergeCell ref="C155:G155"/>
    <mergeCell ref="B156:G156"/>
    <mergeCell ref="B157:D157"/>
    <mergeCell ref="F157:G157"/>
    <mergeCell ref="B158:D158"/>
    <mergeCell ref="F158:G158"/>
    <mergeCell ref="B159:G159"/>
  </mergeCells>
  <conditionalFormatting sqref="C142:F142">
    <cfRule type="cellIs" priority="2" operator="equal" aboveAverage="0" equalAverage="0" bottom="0" percent="0" rank="0" text="" dxfId="0">
      <formula>"Licitante deve informar alíquota CPRB (Contribuição Previdenciária sobre a Receita Bruta) conforme Lei 12.546/2011"</formula>
    </cfRule>
  </conditionalFormatting>
  <dataValidations count="8">
    <dataValidation allowBlank="true" operator="between" showDropDown="false" showErrorMessage="true" showInputMessage="false" sqref="D38 D40 E54" type="list">
      <formula1>"SIM,NÃO"</formula1>
      <formula2>0</formula2>
    </dataValidation>
    <dataValidation allowBlank="true" operator="between" prompt="Certifique-se de estar usando os valores corretos." showDropDown="false" showErrorMessage="false" showInputMessage="true" sqref="G32" type="list">
      <formula1>AUX!$E$2:$E160</formula1>
      <formula2>0</formula2>
    </dataValidation>
    <dataValidation allowBlank="true" operator="between" showDropDown="false" showErrorMessage="true" showInputMessage="false" sqref="D57" type="list">
      <formula1>"RAT = 1%,RAT = 2%,RAT = 3%"</formula1>
      <formula2>0</formula2>
    </dataValidation>
    <dataValidation allowBlank="true" operator="between" showDropDown="false" showErrorMessage="true" showInputMessage="false" sqref="F139" type="list">
      <formula1>"LUCRO PRESUMIDO,LUCRO REAL,SIMPLES NACIONAL"</formula1>
      <formula2>0</formula2>
    </dataValidation>
    <dataValidation allowBlank="true" operator="between" showDropDown="false" showErrorMessage="true" showInputMessage="false" sqref="E39" type="list">
      <formula1>"SALÁRIO-BASE,SALÁRIO MÍNIMO"</formula1>
      <formula2>0</formula2>
    </dataValidation>
    <dataValidation allowBlank="true" operator="between" showDropDown="false" showErrorMessage="true" showInputMessage="false" sqref="D39" type="list">
      <formula1>AUX!$A$3:$A$6</formula1>
      <formula2>0</formula2>
    </dataValidation>
    <dataValidation allowBlank="true" operator="between" prompt="Insira um número entre 0,5 e 2." showDropDown="true" showErrorMessage="true" showInputMessage="true" sqref="F57" type="decimal">
      <formula1>0.5</formula1>
      <formula2>2</formula2>
    </dataValidation>
    <dataValidation allowBlank="true" operator="between" prompt="Escolha na lista a unidade de medida ou informe outro valor." showDropDown="false" showErrorMessage="false" showInputMessage="true" sqref="F22" type="list">
      <formula1>"Posto de Serviço,Metro Quadrado,Hora Técnica Profissional,Outro (especificar)"</formula1>
      <formula2>0</formula2>
    </dataValidation>
  </dataValidation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0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4.75"/>
    <col collapsed="false" hidden="false" max="6" min="2" style="0" width="12.6275510204082"/>
    <col collapsed="false" hidden="false" max="26" min="7" style="0" width="8.63265306122449"/>
    <col collapsed="false" hidden="false" max="1025" min="27" style="0" width="12.6275510204082"/>
  </cols>
  <sheetData>
    <row r="1" customFormat="false" ht="15.75" hidden="false" customHeight="true" outlineLevel="0" collapsed="false">
      <c r="A1" s="145" t="s">
        <v>161</v>
      </c>
      <c r="B1" s="145"/>
      <c r="D1" s="146" t="s">
        <v>162</v>
      </c>
      <c r="E1" s="146"/>
    </row>
    <row r="2" customFormat="false" ht="15.75" hidden="false" customHeight="true" outlineLevel="0" collapsed="false">
      <c r="A2" s="146" t="s">
        <v>163</v>
      </c>
      <c r="B2" s="146" t="s">
        <v>164</v>
      </c>
      <c r="D2" s="147" t="s">
        <v>165</v>
      </c>
      <c r="E2" s="148" t="n">
        <v>15.21</v>
      </c>
    </row>
    <row r="3" customFormat="false" ht="15.75" hidden="false" customHeight="true" outlineLevel="0" collapsed="false">
      <c r="A3" s="147" t="s">
        <v>166</v>
      </c>
      <c r="B3" s="149" t="n">
        <v>0.4</v>
      </c>
      <c r="D3" s="147" t="s">
        <v>167</v>
      </c>
      <c r="E3" s="148" t="n">
        <v>21.01</v>
      </c>
    </row>
    <row r="4" customFormat="false" ht="15.75" hidden="false" customHeight="true" outlineLevel="0" collapsed="false">
      <c r="A4" s="147" t="s">
        <v>168</v>
      </c>
      <c r="B4" s="149" t="n">
        <v>0.2</v>
      </c>
      <c r="D4" s="147" t="s">
        <v>169</v>
      </c>
      <c r="E4" s="148" t="n">
        <v>22</v>
      </c>
    </row>
    <row r="5" customFormat="false" ht="15.75" hidden="false" customHeight="true" outlineLevel="0" collapsed="false">
      <c r="A5" s="147" t="s">
        <v>170</v>
      </c>
      <c r="B5" s="149" t="n">
        <v>0.1</v>
      </c>
      <c r="D5" s="147" t="s">
        <v>171</v>
      </c>
      <c r="E5" s="148" t="n">
        <v>25.22</v>
      </c>
    </row>
    <row r="6" customFormat="false" ht="15.75" hidden="false" customHeight="true" outlineLevel="0" collapsed="false">
      <c r="A6" s="147" t="s">
        <v>56</v>
      </c>
      <c r="B6" s="149" t="n">
        <v>0</v>
      </c>
      <c r="D6" s="147" t="s">
        <v>172</v>
      </c>
      <c r="E6" s="148" t="n">
        <v>30.42</v>
      </c>
    </row>
    <row r="8" customFormat="false" ht="15.75" hidden="false" customHeight="true" outlineLevel="0" collapsed="false">
      <c r="A8" s="147" t="s">
        <v>173</v>
      </c>
      <c r="B8" s="150" t="n">
        <v>1212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:B1"/>
    <mergeCell ref="D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LibreOffice/4.4.5.2$Windows_x86 LibreOffice_project/a22f674fd25a3b6f45bdebf25400ed2adff0ff99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pt-BR</dc:language>
  <dcterms:modified xsi:type="dcterms:W3CDTF">2023-11-21T15:15:50Z</dcterms:modified>
  <cp:revision>1</cp:revision>
</cp:coreProperties>
</file>