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 DOCUMENTOS\DOCUMENTOS ADMINISTRATIVOS\1 - DOCUMENTOS PARA CONTRATAÇÕES\2024\05-2024 - Supervisão obra Tubarão\Documentos técnicos\"/>
    </mc:Choice>
  </mc:AlternateContent>
  <bookViews>
    <workbookView xWindow="0" yWindow="0" windowWidth="28800" windowHeight="12435" activeTab="5"/>
  </bookViews>
  <sheets>
    <sheet name="ORÇAMENTO" sheetId="1" r:id="rId1"/>
    <sheet name="CRONOGRAMA" sheetId="7" r:id="rId2"/>
    <sheet name="COMPOSIÇÕES" sheetId="5" r:id="rId3"/>
    <sheet name="COTAÇÕES" sheetId="6" r:id="rId4"/>
    <sheet name="BDI" sheetId="2" r:id="rId5"/>
    <sheet name="ENCARGOS SOCIAIS" sheetId="9" r:id="rId6"/>
  </sheets>
  <definedNames>
    <definedName name="_xlnm.Print_Area" localSheetId="1">CRONOGRAMA!$A$1:$P$46</definedName>
    <definedName name="_xlnm.Print_Area" localSheetId="0">ORÇAMENTO!$A$1:$L$44</definedName>
    <definedName name="_xlnm.Print_Titles" localSheetId="2">COMPOSIÇÕES!$1:$3</definedName>
    <definedName name="_xlnm.Print_Titles" localSheetId="1">CRONOGRAMA!$1:$5</definedName>
    <definedName name="_xlnm.Print_Titles" localSheetId="0">ORÇAMENTO!$2:$11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" i="7" l="1"/>
  <c r="N17" i="7"/>
  <c r="M17" i="7"/>
  <c r="L17" i="7"/>
  <c r="K17" i="7"/>
  <c r="J17" i="7"/>
  <c r="I17" i="7"/>
  <c r="H17" i="7"/>
  <c r="G17" i="7"/>
  <c r="F17" i="7"/>
  <c r="E17" i="7"/>
  <c r="D17" i="7"/>
  <c r="E13" i="7"/>
  <c r="F13" i="7"/>
  <c r="G13" i="7"/>
  <c r="H13" i="7"/>
  <c r="I13" i="7"/>
  <c r="J13" i="7"/>
  <c r="K13" i="7"/>
  <c r="L13" i="7"/>
  <c r="M13" i="7"/>
  <c r="N13" i="7"/>
  <c r="O13" i="7"/>
  <c r="D13" i="7"/>
  <c r="P13" i="7"/>
  <c r="B40" i="7"/>
  <c r="B10" i="7"/>
  <c r="A42" i="7"/>
  <c r="A40" i="7"/>
  <c r="A38" i="7"/>
  <c r="A36" i="7"/>
  <c r="A34" i="7"/>
  <c r="A32" i="7"/>
  <c r="A30" i="7"/>
  <c r="A28" i="7"/>
  <c r="A26" i="7"/>
  <c r="A24" i="7"/>
  <c r="A22" i="7"/>
  <c r="A20" i="7"/>
  <c r="A18" i="7"/>
  <c r="A16" i="7"/>
  <c r="A14" i="7"/>
  <c r="A12" i="7"/>
  <c r="A10" i="7"/>
  <c r="A8" i="7"/>
  <c r="O67" i="5"/>
  <c r="Q7" i="5"/>
  <c r="P7" i="5"/>
  <c r="O7" i="5"/>
  <c r="L67" i="5"/>
  <c r="J8" i="5"/>
  <c r="I8" i="5"/>
  <c r="D13" i="1" l="1"/>
  <c r="B8" i="7" s="1"/>
  <c r="J7" i="5"/>
  <c r="I7" i="5"/>
  <c r="F11" i="2" l="1"/>
  <c r="J57" i="5" l="1"/>
  <c r="I57" i="5"/>
  <c r="J56" i="5"/>
  <c r="I56" i="5"/>
  <c r="J55" i="5" l="1"/>
  <c r="J23" i="6" l="1"/>
  <c r="J24" i="6"/>
  <c r="J25" i="6"/>
  <c r="J26" i="6"/>
  <c r="J22" i="6"/>
  <c r="D36" i="1" l="1"/>
  <c r="B38" i="7" s="1"/>
  <c r="D34" i="1"/>
  <c r="B34" i="7" s="1"/>
  <c r="D25" i="1"/>
  <c r="B24" i="7" s="1"/>
  <c r="E12" i="6" l="1"/>
  <c r="P21" i="7" l="1"/>
  <c r="P43" i="7"/>
  <c r="P41" i="7"/>
  <c r="P39" i="7"/>
  <c r="P37" i="7"/>
  <c r="P31" i="7"/>
  <c r="P25" i="7"/>
  <c r="P23" i="7"/>
  <c r="P19" i="7"/>
  <c r="P17" i="7"/>
  <c r="P11" i="7"/>
  <c r="P9" i="7"/>
  <c r="O15" i="7"/>
  <c r="N15" i="7"/>
  <c r="M15" i="7"/>
  <c r="L15" i="7"/>
  <c r="K15" i="7"/>
  <c r="J15" i="7"/>
  <c r="I15" i="7"/>
  <c r="H15" i="7"/>
  <c r="G15" i="7"/>
  <c r="XFD15" i="7"/>
  <c r="F15" i="7"/>
  <c r="E15" i="7"/>
  <c r="D15" i="7"/>
  <c r="P15" i="7" l="1"/>
  <c r="P29" i="7"/>
  <c r="P27" i="7"/>
  <c r="P35" i="7"/>
  <c r="P33" i="7"/>
  <c r="F69" i="5" l="1"/>
  <c r="G69" i="5" s="1"/>
  <c r="F67" i="5"/>
  <c r="G67" i="5" l="1"/>
  <c r="M69" i="5"/>
  <c r="L69" i="5"/>
  <c r="E40" i="5"/>
  <c r="E39" i="5"/>
  <c r="E41" i="5"/>
  <c r="D11" i="6"/>
  <c r="D10" i="6"/>
  <c r="D9" i="6"/>
  <c r="E9" i="6" s="1"/>
  <c r="D7" i="6"/>
  <c r="D8" i="6"/>
  <c r="E7" i="6" s="1"/>
  <c r="E13" i="1"/>
  <c r="B13" i="1"/>
  <c r="J4" i="5"/>
  <c r="A61" i="5"/>
  <c r="B61" i="5"/>
  <c r="J61" i="5"/>
  <c r="J60" i="5"/>
  <c r="I60" i="5"/>
  <c r="M67" i="5" l="1"/>
  <c r="Q15" i="1"/>
  <c r="J59" i="5"/>
  <c r="O69" i="5"/>
  <c r="E19" i="1" l="1"/>
  <c r="D19" i="1"/>
  <c r="B16" i="7" s="1"/>
  <c r="B19" i="1"/>
  <c r="J53" i="5"/>
  <c r="J52" i="5" s="1"/>
  <c r="I53" i="5"/>
  <c r="I52" i="5" s="1"/>
  <c r="E40" i="1"/>
  <c r="D40" i="1"/>
  <c r="B42" i="7" s="1"/>
  <c r="B40" i="1"/>
  <c r="E31" i="1"/>
  <c r="E30" i="1"/>
  <c r="E29" i="1"/>
  <c r="D31" i="1"/>
  <c r="B32" i="7" s="1"/>
  <c r="D30" i="1"/>
  <c r="B30" i="7" s="1"/>
  <c r="D29" i="1"/>
  <c r="B28" i="7" s="1"/>
  <c r="B31" i="1"/>
  <c r="B30" i="1"/>
  <c r="B29" i="1"/>
  <c r="J50" i="5"/>
  <c r="I50" i="5"/>
  <c r="I49" i="5" s="1"/>
  <c r="J47" i="5"/>
  <c r="I47" i="5"/>
  <c r="I46" i="5" s="1"/>
  <c r="J44" i="5"/>
  <c r="I44" i="5"/>
  <c r="I43" i="5" s="1"/>
  <c r="D17" i="6"/>
  <c r="E26" i="1"/>
  <c r="D26" i="1"/>
  <c r="B26" i="7" s="1"/>
  <c r="B26" i="1"/>
  <c r="J40" i="5"/>
  <c r="I40" i="5"/>
  <c r="J41" i="5"/>
  <c r="I41" i="5"/>
  <c r="J39" i="5"/>
  <c r="I39" i="5"/>
  <c r="E25" i="1"/>
  <c r="B25" i="1"/>
  <c r="J36" i="5"/>
  <c r="I36" i="5"/>
  <c r="J35" i="5"/>
  <c r="I35" i="5"/>
  <c r="E24" i="1"/>
  <c r="D24" i="1"/>
  <c r="B22" i="7" s="1"/>
  <c r="B24" i="1"/>
  <c r="E23" i="1"/>
  <c r="D23" i="1"/>
  <c r="B20" i="7" s="1"/>
  <c r="B23" i="1"/>
  <c r="E22" i="1"/>
  <c r="D22" i="1"/>
  <c r="B18" i="7" s="1"/>
  <c r="B22" i="1"/>
  <c r="J31" i="5"/>
  <c r="J32" i="5"/>
  <c r="I32" i="5"/>
  <c r="J28" i="5"/>
  <c r="I28" i="5"/>
  <c r="J27" i="5"/>
  <c r="I27" i="5"/>
  <c r="J24" i="5"/>
  <c r="I24" i="5"/>
  <c r="J23" i="5"/>
  <c r="I31" i="5"/>
  <c r="B37" i="1"/>
  <c r="E37" i="1"/>
  <c r="E36" i="1"/>
  <c r="E35" i="1"/>
  <c r="E34" i="1"/>
  <c r="D35" i="1"/>
  <c r="B36" i="7" s="1"/>
  <c r="B36" i="1"/>
  <c r="B35" i="1"/>
  <c r="B34" i="1"/>
  <c r="I23" i="5"/>
  <c r="J20" i="5"/>
  <c r="I20" i="5"/>
  <c r="I19" i="5" s="1"/>
  <c r="J17" i="5"/>
  <c r="I17" i="5"/>
  <c r="I16" i="5" s="1"/>
  <c r="J14" i="5"/>
  <c r="J13" i="5" s="1"/>
  <c r="I14" i="5"/>
  <c r="J11" i="5"/>
  <c r="J10" i="5" s="1"/>
  <c r="I11" i="5"/>
  <c r="I10" i="5" s="1"/>
  <c r="E18" i="1"/>
  <c r="E17" i="1"/>
  <c r="F68" i="5"/>
  <c r="A5" i="5"/>
  <c r="E6" i="6"/>
  <c r="G68" i="5" l="1"/>
  <c r="L68" i="5" s="1"/>
  <c r="I26" i="5"/>
  <c r="E17" i="6"/>
  <c r="J26" i="5"/>
  <c r="I55" i="5"/>
  <c r="J30" i="5"/>
  <c r="I34" i="5"/>
  <c r="J19" i="5"/>
  <c r="I22" i="5"/>
  <c r="I38" i="5"/>
  <c r="J49" i="5"/>
  <c r="J38" i="5"/>
  <c r="J34" i="5"/>
  <c r="J46" i="5"/>
  <c r="I30" i="5"/>
  <c r="J43" i="5"/>
  <c r="J16" i="5"/>
  <c r="J22" i="5"/>
  <c r="F17" i="1"/>
  <c r="D18" i="1"/>
  <c r="B14" i="7" s="1"/>
  <c r="B18" i="1"/>
  <c r="B17" i="1"/>
  <c r="D17" i="1"/>
  <c r="B12" i="7" s="1"/>
  <c r="E16" i="1"/>
  <c r="B16" i="1"/>
  <c r="I5" i="5"/>
  <c r="I4" i="5" s="1"/>
  <c r="D5" i="6"/>
  <c r="E3" i="6" s="1"/>
  <c r="E2" i="6"/>
  <c r="D13" i="2"/>
  <c r="F9" i="2"/>
  <c r="F10" i="2"/>
  <c r="F12" i="2"/>
  <c r="F8" i="2"/>
  <c r="M68" i="5" l="1"/>
  <c r="O68" i="5" s="1"/>
  <c r="G61" i="5"/>
  <c r="I61" i="5" s="1"/>
  <c r="I59" i="5" s="1"/>
  <c r="G8" i="1"/>
  <c r="Q67" i="5" s="1"/>
  <c r="R67" i="5" s="1"/>
  <c r="R15" i="1" l="1"/>
  <c r="S15" i="1" s="1"/>
  <c r="Q68" i="5"/>
  <c r="Q69" i="5"/>
  <c r="K13" i="1"/>
  <c r="I13" i="1"/>
  <c r="L13" i="1" s="1"/>
  <c r="J13" i="1"/>
  <c r="J30" i="1"/>
  <c r="K30" i="1"/>
  <c r="J29" i="1"/>
  <c r="I19" i="1"/>
  <c r="J19" i="1"/>
  <c r="I30" i="1"/>
  <c r="L30" i="1" s="1"/>
  <c r="C30" i="7" s="1"/>
  <c r="J40" i="1"/>
  <c r="K19" i="1"/>
  <c r="K40" i="1"/>
  <c r="I29" i="1"/>
  <c r="L29" i="1" s="1"/>
  <c r="C28" i="7" s="1"/>
  <c r="I31" i="1"/>
  <c r="L31" i="1" s="1"/>
  <c r="C32" i="7" s="1"/>
  <c r="K31" i="1"/>
  <c r="I40" i="1"/>
  <c r="L40" i="1" s="1"/>
  <c r="K29" i="1"/>
  <c r="J31" i="1"/>
  <c r="J23" i="1"/>
  <c r="I23" i="1"/>
  <c r="L23" i="1" s="1"/>
  <c r="C20" i="7" s="1"/>
  <c r="K23" i="1"/>
  <c r="I26" i="1"/>
  <c r="L26" i="1" s="1"/>
  <c r="C26" i="7" s="1"/>
  <c r="J26" i="1"/>
  <c r="J24" i="1"/>
  <c r="K26" i="1"/>
  <c r="K25" i="1"/>
  <c r="K24" i="1"/>
  <c r="I25" i="1"/>
  <c r="L25" i="1" s="1"/>
  <c r="C24" i="7" s="1"/>
  <c r="J25" i="1"/>
  <c r="I24" i="1"/>
  <c r="L24" i="1" s="1"/>
  <c r="C22" i="7" s="1"/>
  <c r="K37" i="1"/>
  <c r="J22" i="1"/>
  <c r="K18" i="1"/>
  <c r="K22" i="1"/>
  <c r="J35" i="1"/>
  <c r="I16" i="1"/>
  <c r="L16" i="1" s="1"/>
  <c r="C10" i="7" s="1"/>
  <c r="I35" i="1"/>
  <c r="L35" i="1" s="1"/>
  <c r="C36" i="7" s="1"/>
  <c r="K35" i="1"/>
  <c r="I36" i="1"/>
  <c r="L36" i="1" s="1"/>
  <c r="C38" i="7" s="1"/>
  <c r="J36" i="1"/>
  <c r="K16" i="1"/>
  <c r="I37" i="1"/>
  <c r="L37" i="1" s="1"/>
  <c r="C40" i="7" s="1"/>
  <c r="K36" i="1"/>
  <c r="I22" i="1"/>
  <c r="L22" i="1" s="1"/>
  <c r="C18" i="7" s="1"/>
  <c r="J37" i="1"/>
  <c r="J16" i="1"/>
  <c r="M36" i="7" l="1"/>
  <c r="L39" i="1"/>
  <c r="C42" i="7"/>
  <c r="L42" i="7" s="1"/>
  <c r="L12" i="1"/>
  <c r="C8" i="7"/>
  <c r="F26" i="7"/>
  <c r="L21" i="1"/>
  <c r="L28" i="1"/>
  <c r="E20" i="7"/>
  <c r="L20" i="7"/>
  <c r="G20" i="7"/>
  <c r="N20" i="7"/>
  <c r="D20" i="7"/>
  <c r="K20" i="7"/>
  <c r="H20" i="7"/>
  <c r="J20" i="7"/>
  <c r="I20" i="7"/>
  <c r="F20" i="7"/>
  <c r="O20" i="7"/>
  <c r="M20" i="7"/>
  <c r="Q70" i="5"/>
  <c r="G24" i="7"/>
  <c r="O24" i="7"/>
  <c r="H24" i="7"/>
  <c r="D24" i="7"/>
  <c r="I24" i="7"/>
  <c r="N24" i="7"/>
  <c r="E24" i="7"/>
  <c r="F24" i="7"/>
  <c r="M24" i="7"/>
  <c r="J24" i="7"/>
  <c r="K24" i="7"/>
  <c r="L24" i="7"/>
  <c r="H42" i="7"/>
  <c r="I42" i="7"/>
  <c r="J42" i="7"/>
  <c r="D42" i="7"/>
  <c r="M42" i="7"/>
  <c r="N42" i="7"/>
  <c r="O42" i="7"/>
  <c r="K42" i="7"/>
  <c r="E42" i="7"/>
  <c r="F42" i="7"/>
  <c r="G42" i="7"/>
  <c r="F38" i="7"/>
  <c r="N38" i="7"/>
  <c r="G38" i="7"/>
  <c r="O38" i="7"/>
  <c r="H38" i="7"/>
  <c r="I38" i="7"/>
  <c r="J38" i="7"/>
  <c r="K38" i="7"/>
  <c r="D38" i="7"/>
  <c r="L38" i="7"/>
  <c r="E38" i="7"/>
  <c r="M38" i="7"/>
  <c r="I10" i="7"/>
  <c r="J10" i="7"/>
  <c r="K10" i="7"/>
  <c r="H10" i="7"/>
  <c r="D10" i="7"/>
  <c r="L10" i="7"/>
  <c r="M10" i="7"/>
  <c r="N10" i="7"/>
  <c r="G10" i="7"/>
  <c r="O10" i="7"/>
  <c r="E10" i="7"/>
  <c r="F10" i="7"/>
  <c r="K40" i="7"/>
  <c r="L40" i="7"/>
  <c r="E40" i="7"/>
  <c r="M40" i="7"/>
  <c r="I40" i="7"/>
  <c r="J40" i="7"/>
  <c r="D40" i="7"/>
  <c r="N40" i="7"/>
  <c r="O40" i="7"/>
  <c r="F40" i="7"/>
  <c r="G40" i="7"/>
  <c r="H40" i="7"/>
  <c r="E18" i="7"/>
  <c r="M18" i="7"/>
  <c r="F18" i="7"/>
  <c r="N18" i="7"/>
  <c r="G18" i="7"/>
  <c r="O18" i="7"/>
  <c r="K18" i="7"/>
  <c r="L18" i="7"/>
  <c r="D18" i="7"/>
  <c r="H18" i="7"/>
  <c r="I18" i="7"/>
  <c r="J18" i="7"/>
  <c r="L19" i="1"/>
  <c r="C16" i="7" s="1"/>
  <c r="H16" i="7" l="1"/>
  <c r="N16" i="7"/>
  <c r="I16" i="7"/>
  <c r="M26" i="7"/>
  <c r="J26" i="7"/>
  <c r="D26" i="7"/>
  <c r="I26" i="7"/>
  <c r="L26" i="7"/>
  <c r="E26" i="7"/>
  <c r="H26" i="7"/>
  <c r="G26" i="7"/>
  <c r="O26" i="7"/>
  <c r="K26" i="7"/>
  <c r="N26" i="7"/>
  <c r="E16" i="7"/>
  <c r="G16" i="7"/>
  <c r="M16" i="7"/>
  <c r="L16" i="7"/>
  <c r="F16" i="7"/>
  <c r="K16" i="7"/>
  <c r="D16" i="7"/>
  <c r="J16" i="7"/>
  <c r="O16" i="7"/>
  <c r="N8" i="7"/>
  <c r="P20" i="7"/>
  <c r="F8" i="7"/>
  <c r="O8" i="7"/>
  <c r="M8" i="7"/>
  <c r="K8" i="7"/>
  <c r="D8" i="7"/>
  <c r="I8" i="7"/>
  <c r="E8" i="7"/>
  <c r="J8" i="7"/>
  <c r="L8" i="7"/>
  <c r="H8" i="7"/>
  <c r="G8" i="7"/>
  <c r="P18" i="7"/>
  <c r="P42" i="7"/>
  <c r="P24" i="7"/>
  <c r="I36" i="7"/>
  <c r="J36" i="7"/>
  <c r="K36" i="7"/>
  <c r="F36" i="7"/>
  <c r="G36" i="7"/>
  <c r="H36" i="7"/>
  <c r="L36" i="7"/>
  <c r="D36" i="7"/>
  <c r="N36" i="7"/>
  <c r="O36" i="7"/>
  <c r="E36" i="7"/>
  <c r="P38" i="7"/>
  <c r="P40" i="7"/>
  <c r="P10" i="7"/>
  <c r="J17" i="1"/>
  <c r="I13" i="5"/>
  <c r="K34" i="1"/>
  <c r="P26" i="7" l="1"/>
  <c r="P16" i="7"/>
  <c r="P8" i="7"/>
  <c r="P36" i="7"/>
  <c r="K17" i="1"/>
  <c r="K41" i="1" s="1"/>
  <c r="I17" i="1"/>
  <c r="J34" i="1"/>
  <c r="I34" i="1"/>
  <c r="L34" i="1" s="1"/>
  <c r="L33" i="1" l="1"/>
  <c r="C34" i="7"/>
  <c r="L17" i="1"/>
  <c r="C12" i="7" s="1"/>
  <c r="D18" i="2"/>
  <c r="O12" i="7" l="1"/>
  <c r="D12" i="7"/>
  <c r="H12" i="7"/>
  <c r="K12" i="7"/>
  <c r="L12" i="7"/>
  <c r="M12" i="7"/>
  <c r="F12" i="7"/>
  <c r="E12" i="7"/>
  <c r="N12" i="7"/>
  <c r="I12" i="7"/>
  <c r="G12" i="7"/>
  <c r="J12" i="7"/>
  <c r="H34" i="7"/>
  <c r="I34" i="7"/>
  <c r="D34" i="7"/>
  <c r="L34" i="7"/>
  <c r="J34" i="7"/>
  <c r="K34" i="7"/>
  <c r="G34" i="7"/>
  <c r="O34" i="7"/>
  <c r="E34" i="7"/>
  <c r="M34" i="7"/>
  <c r="F34" i="7"/>
  <c r="N34" i="7"/>
  <c r="D28" i="7"/>
  <c r="J22" i="7"/>
  <c r="K22" i="7"/>
  <c r="L22" i="7"/>
  <c r="D22" i="7"/>
  <c r="N22" i="7"/>
  <c r="O22" i="7"/>
  <c r="E22" i="7"/>
  <c r="F22" i="7"/>
  <c r="G22" i="7"/>
  <c r="H22" i="7"/>
  <c r="I22" i="7"/>
  <c r="M22" i="7"/>
  <c r="H30" i="7"/>
  <c r="I30" i="7"/>
  <c r="J30" i="7"/>
  <c r="K30" i="7"/>
  <c r="L30" i="7"/>
  <c r="D30" i="7"/>
  <c r="E30" i="7"/>
  <c r="M30" i="7"/>
  <c r="F30" i="7"/>
  <c r="N30" i="7"/>
  <c r="G30" i="7"/>
  <c r="O30" i="7"/>
  <c r="J18" i="1"/>
  <c r="J41" i="1" s="1"/>
  <c r="I18" i="1"/>
  <c r="P12" i="7" l="1"/>
  <c r="P34" i="7"/>
  <c r="O28" i="7"/>
  <c r="I28" i="7"/>
  <c r="G28" i="7"/>
  <c r="K28" i="7"/>
  <c r="F28" i="7"/>
  <c r="N28" i="7"/>
  <c r="E28" i="7"/>
  <c r="J28" i="7"/>
  <c r="M28" i="7"/>
  <c r="H28" i="7"/>
  <c r="L28" i="7"/>
  <c r="P22" i="7"/>
  <c r="P30" i="7"/>
  <c r="L18" i="1"/>
  <c r="L15" i="1" l="1"/>
  <c r="L41" i="1" s="1"/>
  <c r="C14" i="7"/>
  <c r="P28" i="7"/>
  <c r="C15" i="7" l="1"/>
  <c r="L14" i="7"/>
  <c r="I14" i="7"/>
  <c r="J14" i="7"/>
  <c r="M14" i="7"/>
  <c r="E14" i="7"/>
  <c r="D14" i="7"/>
  <c r="F14" i="7"/>
  <c r="O14" i="7"/>
  <c r="K14" i="7"/>
  <c r="G14" i="7"/>
  <c r="H14" i="7"/>
  <c r="H44" i="7" s="1"/>
  <c r="N14" i="7"/>
  <c r="B44" i="7"/>
  <c r="C11" i="7"/>
  <c r="M44" i="1"/>
  <c r="C41" i="7"/>
  <c r="M43" i="1"/>
  <c r="C13" i="7"/>
  <c r="C37" i="7"/>
  <c r="C23" i="7"/>
  <c r="C19" i="7"/>
  <c r="C27" i="7"/>
  <c r="C29" i="7"/>
  <c r="C33" i="7"/>
  <c r="C25" i="7"/>
  <c r="C31" i="7"/>
  <c r="C39" i="7"/>
  <c r="C21" i="7"/>
  <c r="C17" i="7"/>
  <c r="C43" i="7"/>
  <c r="C9" i="7"/>
  <c r="C35" i="7"/>
  <c r="M41" i="1"/>
  <c r="O32" i="7"/>
  <c r="E32" i="7"/>
  <c r="D32" i="7"/>
  <c r="F32" i="7"/>
  <c r="G32" i="7"/>
  <c r="H32" i="7"/>
  <c r="I32" i="7"/>
  <c r="M32" i="7"/>
  <c r="N32" i="7"/>
  <c r="J32" i="7"/>
  <c r="K32" i="7"/>
  <c r="L32" i="7"/>
  <c r="N44" i="7" l="1"/>
  <c r="E44" i="7"/>
  <c r="E45" i="7" s="1"/>
  <c r="M44" i="7"/>
  <c r="M45" i="7" s="1"/>
  <c r="F44" i="7"/>
  <c r="F45" i="7" s="1"/>
  <c r="J44" i="7"/>
  <c r="J45" i="7" s="1"/>
  <c r="G44" i="7"/>
  <c r="G45" i="7" s="1"/>
  <c r="I44" i="7"/>
  <c r="I45" i="7" s="1"/>
  <c r="P14" i="7"/>
  <c r="D44" i="7"/>
  <c r="D45" i="7" s="1"/>
  <c r="D47" i="7" s="1"/>
  <c r="K44" i="7"/>
  <c r="K45" i="7" s="1"/>
  <c r="L44" i="7"/>
  <c r="L45" i="7" s="1"/>
  <c r="O44" i="7"/>
  <c r="O45" i="7" s="1"/>
  <c r="H45" i="7"/>
  <c r="P32" i="7"/>
  <c r="N45" i="7"/>
  <c r="E47" i="7" l="1"/>
  <c r="F47" i="7" s="1"/>
  <c r="G47" i="7" s="1"/>
  <c r="H47" i="7" s="1"/>
  <c r="I47" i="7" s="1"/>
  <c r="J47" i="7" s="1"/>
  <c r="K47" i="7" s="1"/>
  <c r="L47" i="7" s="1"/>
  <c r="M47" i="7" s="1"/>
  <c r="N47" i="7" s="1"/>
  <c r="O47" i="7" s="1"/>
  <c r="P44" i="7"/>
</calcChain>
</file>

<file path=xl/sharedStrings.xml><?xml version="1.0" encoding="utf-8"?>
<sst xmlns="http://schemas.openxmlformats.org/spreadsheetml/2006/main" count="322" uniqueCount="203">
  <si>
    <t>SERVIÇO</t>
  </si>
  <si>
    <t>UNIDADE</t>
  </si>
  <si>
    <t>BDI</t>
  </si>
  <si>
    <t>mês</t>
  </si>
  <si>
    <t>QUANT</t>
  </si>
  <si>
    <t>ITEM</t>
  </si>
  <si>
    <t>DISCRIMINAÇÃO</t>
  </si>
  <si>
    <t>TAXA (%)</t>
  </si>
  <si>
    <t>Adminstração Central (AC)</t>
  </si>
  <si>
    <t>Despesas Financeiras (DF)</t>
  </si>
  <si>
    <t>Riscos</t>
  </si>
  <si>
    <t>Lucro Bruto (LB)</t>
  </si>
  <si>
    <t>Impostos (IM)</t>
  </si>
  <si>
    <t>PIS</t>
  </si>
  <si>
    <t>COFINS</t>
  </si>
  <si>
    <t>ISS</t>
  </si>
  <si>
    <t>B.D.I. CALCULADO</t>
  </si>
  <si>
    <t>B.D.I. ADOTADO</t>
  </si>
  <si>
    <t>DEMONSTRATIVO DO CÁLCULO</t>
  </si>
  <si>
    <t>BDI =( ((1+AC+S+R+G)(1+DF)(1+L))/(1-T))-1</t>
  </si>
  <si>
    <t>TOTAL</t>
  </si>
  <si>
    <t>UNID.</t>
  </si>
  <si>
    <t>Nº HORAS POR SEMANA</t>
  </si>
  <si>
    <t>Nº DE SEMANAS POR MÊS</t>
  </si>
  <si>
    <t>HORAS POR MÊS</t>
  </si>
  <si>
    <t>CUSTO UNITÁRO MÃO DE OBRA COM ENCARGOS</t>
  </si>
  <si>
    <t>CUSTO MAT. E EQUIP. UNIT</t>
  </si>
  <si>
    <t>ENCARGOS SOCIAIS HORISTA</t>
  </si>
  <si>
    <t>ENCARGOS SOCIAIS MENSALISTA</t>
  </si>
  <si>
    <t>CUSTO UNITÁRIO MAT (MÊS)</t>
  </si>
  <si>
    <t>COMP.ADM.001</t>
  </si>
  <si>
    <t>h</t>
  </si>
  <si>
    <t>COMP.ADM.002</t>
  </si>
  <si>
    <t>ENGENHEIRO CIVIL DE OBRA SENIOR COM ENCARGOS COMPLEMENTARES</t>
  </si>
  <si>
    <t>CUSTO UNITÁRIO MÃO DE OBRA (MÊS)</t>
  </si>
  <si>
    <t>BASE DADOS</t>
  </si>
  <si>
    <t>COMPOSIÇÕES DE SERVIÇOS</t>
  </si>
  <si>
    <t>Item</t>
  </si>
  <si>
    <t xml:space="preserve">Descrição </t>
  </si>
  <si>
    <t>Un</t>
  </si>
  <si>
    <t>Quantid.</t>
  </si>
  <si>
    <t>Custo Equipamento</t>
  </si>
  <si>
    <t>Custo Unit. Material</t>
  </si>
  <si>
    <t>Custo Unit.  Mão de Obra</t>
  </si>
  <si>
    <t>TOTAL Equipamento + Material</t>
  </si>
  <si>
    <t>TOTAL                               Mão de Obra</t>
  </si>
  <si>
    <t>M2</t>
  </si>
  <si>
    <t>H</t>
  </si>
  <si>
    <t>COMP.001</t>
  </si>
  <si>
    <t>TRIBUNAL REGIONAL DO TRABALHO DA 12ª REGIÃO</t>
  </si>
  <si>
    <t>COORDENADORIA DE PROJETOS E OBRAS</t>
  </si>
  <si>
    <t>ENDEREÇO: RUA SÃO LUIS, S/N - VILA MOEMA - TUBARÃO - SC</t>
  </si>
  <si>
    <t>DATA DO ORÇAMENTO</t>
  </si>
  <si>
    <t>DATA BASE PREÇOS</t>
  </si>
  <si>
    <t>OBRA: SUPERVISÃO TÉCNICA DA OBRA DE CONSTRUÇÃO DO NOVO FÓRUM TRABALHISTA DE TUBARÃO</t>
  </si>
  <si>
    <t>ISS: ITEM 7.19 DO CÓDIGO TRIBUTÁRIO DE TUBARÃO</t>
  </si>
  <si>
    <t>https://leismunicipais.com.br/codigo-tributario-tubarao-sc</t>
  </si>
  <si>
    <t>MÃO DE OBRA</t>
  </si>
  <si>
    <t>MATERIAL</t>
  </si>
  <si>
    <t>https://portal.crea-sc.org.br/download/tabela-de-honorarios-ibape/</t>
  </si>
  <si>
    <t>COTAÇÃO 001</t>
  </si>
  <si>
    <t>IMPRESSÃO COLOR EM FOLHA A4</t>
  </si>
  <si>
    <t>https://www.portalinsights.com.br/perguntas-frequentes/quanto-custa-a-impressao-de-uma-folha-a4#:~:text=Uma%20outra%20forma%20de%20estipular,%3A%200%2C139%20x%204%20%3D%200%2C556.</t>
  </si>
  <si>
    <t>CÓDIGO</t>
  </si>
  <si>
    <t>REFERÊNCIA</t>
  </si>
  <si>
    <t>https://loja.vcrdualmidia.com.br/impressao-colorida-jato-prova-dagua-w1514</t>
  </si>
  <si>
    <t>https://www.makinformatica.com.br/produtos/20-folhas-impressas-em-colorido-30-de-cobertura/</t>
  </si>
  <si>
    <t>CREA-SC</t>
  </si>
  <si>
    <t>COMPOSIÇÃO</t>
  </si>
  <si>
    <t>CUSTO UNITÁRIO</t>
  </si>
  <si>
    <t>PREÇO UNITÁRIO</t>
  </si>
  <si>
    <t>ANOTAÇÃO DE RESPOSNABILIDADE TÉCNICA</t>
  </si>
  <si>
    <t>CUSTO DE EMISSÃO DE ART JUNTO AO CREA SC</t>
  </si>
  <si>
    <t>UNID</t>
  </si>
  <si>
    <t>PREÇO TOTAL MATERIAL</t>
  </si>
  <si>
    <t>PREÇO TOTAL MÃO DE OBRA</t>
  </si>
  <si>
    <t>SUPERVISÃO E PREENCHIMENTO DO DIÁRIO DE OBRAS</t>
  </si>
  <si>
    <t>ELABORAÇÃO DE RELATÓRIOS SEMANAIS DE SUPERVISÃO DA OBRA - ENGENHEIRO CIVIL SÊNIOR</t>
  </si>
  <si>
    <t>COMP.006</t>
  </si>
  <si>
    <t>ASSINATURA DIGITAL</t>
  </si>
  <si>
    <t>COTAÇÃO 002</t>
  </si>
  <si>
    <t>COTAÇÃO 003</t>
  </si>
  <si>
    <t>https://portal.crea-sc.org.br/servicos/consultas/taxas/</t>
  </si>
  <si>
    <t>EMISSÃO ART CREA-SC</t>
  </si>
  <si>
    <t>HORA TÉCNCIA IBAPE SC</t>
  </si>
  <si>
    <t>ENGENHEIRO CIVIL DE OBRA JUNIOR COM ENCARGOS COMPLEMENTARES</t>
  </si>
  <si>
    <t>PREÇO TOTAL</t>
  </si>
  <si>
    <t>ELABORAÇÃO DE LAUDO DE SISTEMA LUMINOTÉCNICO (SISTEMA DE ILUMINAÇÃO DE EMERGÊNCIA) - CONFORME CBM-SC</t>
  </si>
  <si>
    <t>MEDIANA</t>
  </si>
  <si>
    <t>COTAÇOES</t>
  </si>
  <si>
    <t>COMP.010</t>
  </si>
  <si>
    <t>COMP.011</t>
  </si>
  <si>
    <t>ENCANADOR OU BOMBEIRO HIDRÁULICO COM ENCARGOS COMPLEMENTARES</t>
  </si>
  <si>
    <t>MECÂNICO DE REFRIGERAÇÃO COM ENCARGOS COMPLEMENTARES</t>
  </si>
  <si>
    <r>
      <t xml:space="preserve">ANOTAÇÃO DE RESPONSABILIDADE TÉCNICA - </t>
    </r>
    <r>
      <rPr>
        <sz val="8"/>
        <color theme="1"/>
        <rFont val="Arial"/>
        <family val="2"/>
      </rPr>
      <t>ELABORAÇÃO DE LAUDOS DE SISTEMAS PREVENTIVOS DE INCÊNDIO</t>
    </r>
  </si>
  <si>
    <r>
      <t xml:space="preserve">ANOTAÇÃO DE RESPONSABILIDADE TÉCNICA - </t>
    </r>
    <r>
      <rPr>
        <sz val="8"/>
        <color theme="1"/>
        <rFont val="Arial"/>
        <family val="2"/>
      </rPr>
      <t>PROFISSIONAIS RESPONSÁVEIS PELA SUPERVISÃO DA OBRA</t>
    </r>
  </si>
  <si>
    <t>COMP.012</t>
  </si>
  <si>
    <t>ELETRICISTA COM ENCARGOS COMPLEMENTARES</t>
  </si>
  <si>
    <t>COMP.013</t>
  </si>
  <si>
    <t>TÉCNICO DE LABORATÓRIO COM ENCARGOS COMPLEMENTARES</t>
  </si>
  <si>
    <t>AUXILIAR DE LABORATÓRIO COM ENCARGOS COMPLEMENTARES</t>
  </si>
  <si>
    <t>COTAÇÃO 004</t>
  </si>
  <si>
    <t>NUVEM DE PONTOS COM PROCESSAMENTO DE DADOS</t>
  </si>
  <si>
    <t>Blumenau</t>
  </si>
  <si>
    <t>Sede - Plenário</t>
  </si>
  <si>
    <t xml:space="preserve">Sede </t>
  </si>
  <si>
    <t>Fórum Florianópolis</t>
  </si>
  <si>
    <t>ELABORAÇÃO DE RELATÓRIOS DE RECEBIMENTO PROVISÓRIO E DEFINITIVO - ENGENHEIRO CIVIL</t>
  </si>
  <si>
    <t>COMP.014</t>
  </si>
  <si>
    <t>RELATÓRIO ESPECÍFICO SOBRE O ACOMPANHAMENTO DA REALIZAÇÃO DOS TESTES DE RESISTÊNCIA À COMPRESSÃO PARA CORPOS DE PROVA DE CONCRETO</t>
  </si>
  <si>
    <t>COMP.015</t>
  </si>
  <si>
    <t>RELATÓRIO ESPECÍFICO SOBRE O ACOMPANHAMENTO DA REALIZAÇÃO DOS ENSAIOS PIT EM ESTACAS</t>
  </si>
  <si>
    <t>COMP.016</t>
  </si>
  <si>
    <t>RELATÓRIO ESPECÍFICO SOBRE O ACOMPANHAMENTO DA REALIZAÇÃO DOS ENSAIOS DE ARRANCAMENTO DE ARGAMASSA</t>
  </si>
  <si>
    <t>RELATÓRIO MENSAL DE AS BUILT E CONFERÊNCIA/AJUSTES DE PROJETO AS BUILT</t>
  </si>
  <si>
    <t>MÊS</t>
  </si>
  <si>
    <t>COMP. 017</t>
  </si>
  <si>
    <t>COMP.019</t>
  </si>
  <si>
    <t xml:space="preserve">ESTRUTURA ADMINISTRATIVA </t>
  </si>
  <si>
    <t>1.1</t>
  </si>
  <si>
    <t>SIURB 200353</t>
  </si>
  <si>
    <t>SERVIÇO DE PLOTAGEM EM PAPEL SULFITE, TAMANHO A0, COLORIDA</t>
  </si>
  <si>
    <t>COMP.025</t>
  </si>
  <si>
    <t>COTAÇÃO 005</t>
  </si>
  <si>
    <t>MESA DE ESCRITÓRIO</t>
  </si>
  <si>
    <t>https://www.submarino.com.br/produto/7471628861/mesa-de-escritorio-em-l-estilo-industrial-1-50mx1-50m?opn=YSMESP&amp;offerId=652679f3cc553093855b692a</t>
  </si>
  <si>
    <t>https://www.madeiramadeira.com.br/mesa-de-escritorio-em-l-estilo-industrial-1-50mx1-50m-ajl-store-mesa-em-l-655427692.html</t>
  </si>
  <si>
    <t>COTAÇÃO 006</t>
  </si>
  <si>
    <t>CADEIRA DE DE ESCRITÓRIO</t>
  </si>
  <si>
    <t>https://www.kabum.com.br/produto/527194/cadeira-de-escritorio-com-base-cromada-prizi-essencial-preta?gad_source=1&amp;gclid=CjwKCAjwte-vBhBFEiwAQSv_xXeTNbsOWK8_dNHSxtTCiDOW7vrOE6YYRRtnRUsQo2-dPdXyCpwB2RoCIcUQAvD_BwE</t>
  </si>
  <si>
    <t>https://www.madeiramadeira.com.br/cadeira-de-escritorio-com-base-cromada-prizi-essencial-pre-231454493.html?origem=pla-231454493&amp;utm_source=google&amp;utm_medium=cpc&amp;utm_content=cadeiras-para-escritorio-5034&amp;utm_term=&amp;utm_id=17652852126&amp;gad_source=1&amp;gclid=CjwKCAjwte-vBhBFEiwAQSv_xVIs56rXDUj5JA4kads1BBnOz4hJTCCT2iQfrCCQdaKf7QNs95uyyhoCUOgQAvD_BwE</t>
  </si>
  <si>
    <t>https://www.leroymerlin.com.br/cadeira-de-escritorio-secretaria-base-cromada-com-rodinha-fortt-lisboa-preta-csf02-p_1570714140?region=outros&amp;gad_source=1&amp;gclid=CjwKCAjwte-vBhBFEiwAQSv_xX8l7jpaueuCF6DxaNvBklQLFs3FLG0MurcHMUR8HX1hRqyZRausdBoCcPEQAvD_BwE</t>
  </si>
  <si>
    <t>TESTES E ENSAIOS</t>
  </si>
  <si>
    <t>LAUDOS - SISTEMA DE PREVENÇÃO E COMBATE A INCÊNDIO</t>
  </si>
  <si>
    <t>RELATÓRIOS DE ACOMPANHAMENTO DE ENSAIOS</t>
  </si>
  <si>
    <t>2.1</t>
  </si>
  <si>
    <t>2.2</t>
  </si>
  <si>
    <t>3.1</t>
  </si>
  <si>
    <t>3.2</t>
  </si>
  <si>
    <t>3.3</t>
  </si>
  <si>
    <t>3.4</t>
  </si>
  <si>
    <t>3.5</t>
  </si>
  <si>
    <t>4.1</t>
  </si>
  <si>
    <t>4.2</t>
  </si>
  <si>
    <t>4.3</t>
  </si>
  <si>
    <t>5.1</t>
  </si>
  <si>
    <t>5.2</t>
  </si>
  <si>
    <t>5.3</t>
  </si>
  <si>
    <t>6.1</t>
  </si>
  <si>
    <t>RELATÓRIOS E SERVIÇOS FINAIS</t>
  </si>
  <si>
    <t>COMP.003</t>
  </si>
  <si>
    <t>COMP.005</t>
  </si>
  <si>
    <t>COMP.007</t>
  </si>
  <si>
    <t>COMP.008</t>
  </si>
  <si>
    <t>COMP.009</t>
  </si>
  <si>
    <t>PREÇO TOTAL COM BDI</t>
  </si>
  <si>
    <t>ENSAIO DE TERMOGRAFIA EM QUADROS ELÉTRICOS - COM EMISSÃO DE RELATÓRIO</t>
  </si>
  <si>
    <t>TESTE DE FUNCIONAMENTO DE TODOS OS APARELHOS DE CLIMATIZAÇÃO E RENOVAÇÃO DE AR - COM EMISSÃO DE RELATÓRIO</t>
  </si>
  <si>
    <t>TESTE DE FUNCIONAMENTO DE TODOS OS APARELHOS SANITÁRIOS (METAIS E LOUÇAS) - COM EMISSÃO DE RELATÓRIO</t>
  </si>
  <si>
    <t>ENSAIO DE ADERÊNCIA DE SISTEMA DE PINTURA EM ESTRUTURA METÁLICA - NBR 11003 - COM EMISSÃO DE RELATÓRIO</t>
  </si>
  <si>
    <t>COMP.ADM.003</t>
  </si>
  <si>
    <t>ENGENHEIRO CIVIL DE OBRA PLENO COM ENCARGOS COMPLEMENTARES</t>
  </si>
  <si>
    <t>MESES</t>
  </si>
  <si>
    <t>REMUNERAÇÕ MENSAL</t>
  </si>
  <si>
    <t>PELO ENG CIVIL</t>
  </si>
  <si>
    <t>CRONOGRAMA FÍSICO-FINANCEIRO</t>
  </si>
  <si>
    <t>DESCRIÇÃO DOS SERVIÇOS</t>
  </si>
  <si>
    <t>1º MÊS</t>
  </si>
  <si>
    <t>2º MÊS</t>
  </si>
  <si>
    <t>3º MÊS</t>
  </si>
  <si>
    <t>PARCELAS MENSAIS</t>
  </si>
  <si>
    <t>4º MÊS</t>
  </si>
  <si>
    <t>5º MÊS</t>
  </si>
  <si>
    <t>6º MÊS</t>
  </si>
  <si>
    <t>7º MÊS</t>
  </si>
  <si>
    <t>8º MÊS</t>
  </si>
  <si>
    <t>9º MÊS</t>
  </si>
  <si>
    <t>10º MÊS</t>
  </si>
  <si>
    <t>11º MÊS</t>
  </si>
  <si>
    <t>12º MÊS</t>
  </si>
  <si>
    <t>VALOR TOTAL</t>
  </si>
  <si>
    <t>https://planos.claro.com.br/checkout/dados-pessoais?affiliateId=SJr4O5jmp&amp;internetId=1181,1182,1004,1011&amp;_gac=1.194319967.1711134842.Cj0KCQjw2PSvBhDjARIsAKc2cgPC7hGHIZH7JjgnvAFCdDu72Fs4DHq108lQxWyCbVtiSFKhYQkdUWkaAhliEALw_wcB&amp;cep=88701040&amp;number=0&amp;_ga=2.231493663.1494499924.1711134842-1493408259.1711134842</t>
  </si>
  <si>
    <t>https://lojaonline.vivo.com.br/escolha-seus-produtos/checkout/cadastro</t>
  </si>
  <si>
    <t>https://unifique.com.br/para-voce/internet-fibra-optica</t>
  </si>
  <si>
    <t>https://www.oi.com.br/internet?gad_source=1&amp;gclid=Cj0KCQjw2PSvBhDjARIsAKc2cgN1KuQXGdCIMZaMELc89MP0dba3Fx3__4NODbjvz-4vGnLa4dHMcx4aAoPHEALw_wcB&amp;gclsrc=aw.ds</t>
  </si>
  <si>
    <t>PLANO DE INTERNET 100 A 350 MB</t>
  </si>
  <si>
    <t xml:space="preserve">COMPOSIÇÕES UNITÁRIAS DE APOIO - ADMINISTRAÇÃO </t>
  </si>
  <si>
    <t>ELABORAÇÃO DE LAUDO DE MEDIÇÃO DE SONORIDADE DE SISTEMA DE ALARME DE INCÊNDIO ) - CONFORME CBM-SC</t>
  </si>
  <si>
    <t>ELABORAÇÃO DE LAUDO DE INSTALAÇÕES ELÉTRICAS DE BAIXA TENSÃO) - CONFORME CBM-SC</t>
  </si>
  <si>
    <t>Desoneração: não se aplica às empresas da seção M divisão 71</t>
  </si>
  <si>
    <t>TESTE HIDROSTÁTICO DE PRESSÃO EM TODAS AS TUBULAÇÕES PREDIAIS DE ÁGUA FRIA E RESERVATÓRIOS - COM EMISSÃO DE RELATÓRIO</t>
  </si>
  <si>
    <t>COMPOSIÇÃO DO BDI</t>
  </si>
  <si>
    <t>CPRB</t>
  </si>
  <si>
    <t>Garantia</t>
  </si>
  <si>
    <t>Seguro: não é necessário para essa contratação, apenas seguro garantia</t>
  </si>
  <si>
    <t>ASSINATURA DO RESPONSÁVEL</t>
  </si>
  <si>
    <t>2.4</t>
  </si>
  <si>
    <t>5.4</t>
  </si>
  <si>
    <t>Engenheiro Civil Sênior - 35 horas por mês</t>
  </si>
  <si>
    <t>CÓPIAS E PLOTAGENS DE PROJETOS</t>
  </si>
  <si>
    <t>ACOMPANHAMENTO DA OBRA</t>
  </si>
  <si>
    <t>2.3</t>
  </si>
  <si>
    <t>PERCENTUAL MENSAL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</si>
</sst>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#,##0.00\ ;[Red]#,##0.00;&quot;&quot;"/>
    <numFmt numFmtId="165" formatCode="#,##0.00\ ;&quot; (&quot;#,##0.00\);\-00\ ;@\ "/>
    <numFmt numFmtId="166" formatCode="_-&quot;R$&quot;* #,##0_-;\-&quot;R$&quot;* #,##0_-;_-&quot;R$&quot;* &quot;-&quot;??_-;_-@_-"/>
    <numFmt numFmtId="167" formatCode="_(* #,##0.00_);_(* \(#,##0.00\);_(* &quot;-&quot;??_);_(@_)"/>
    <numFmt numFmtId="168" formatCode="0.000"/>
    <numFmt numFmtId="169" formatCode="0.0000"/>
    <numFmt numFmtId="170" formatCode="_-* #,##0.0_-;\-* #,##0.0_-;_-* &quot;-&quot;??_-;_-@_-"/>
    <numFmt numFmtId="171" formatCode="_-&quot;R$&quot;* #,##0.0_-;\-&quot;R$&quot;* #,##0.0_-;_-&quot;R$&quot;* &quot;-&quot;??_-;_-@_-"/>
    <numFmt numFmtId="172" formatCode="[$R$-416]\ #,##0.00\ ;\-[$R$-416]\ #,##0.00\ ;[$R$-416]&quot; -&quot;00\ ;@\ "/>
    <numFmt numFmtId="173" formatCode="&quot;R$ &quot;#,##0.00"/>
    <numFmt numFmtId="174" formatCode="[$R$-416]\ #,##0.00;\-[$R$-416]\ #,##0.00"/>
    <numFmt numFmtId="175" formatCode="0.0%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0"/>
      <color rgb="FF000000"/>
      <name val="Arial"/>
      <family val="2"/>
      <charset val="1"/>
    </font>
    <font>
      <b/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11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0"/>
      <color rgb="FF000000"/>
      <name val="Arial"/>
      <family val="2"/>
    </font>
    <font>
      <b/>
      <sz val="12"/>
      <name val="Arial"/>
      <family val="2"/>
      <charset val="1"/>
    </font>
    <font>
      <sz val="12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C00000"/>
      <name val="Arial"/>
      <family val="2"/>
      <charset val="1"/>
    </font>
    <font>
      <b/>
      <sz val="11"/>
      <name val="Arial"/>
      <family val="2"/>
    </font>
    <font>
      <b/>
      <sz val="8"/>
      <color rgb="FF000000"/>
      <name val="Arial"/>
      <family val="2"/>
      <charset val="1"/>
    </font>
    <font>
      <b/>
      <sz val="8"/>
      <color rgb="FFC00000"/>
      <name val="Arial"/>
      <family val="2"/>
      <charset val="1"/>
    </font>
    <font>
      <b/>
      <sz val="9"/>
      <color rgb="FF000000"/>
      <name val="Arial"/>
      <family val="2"/>
      <charset val="1"/>
    </font>
    <font>
      <sz val="9"/>
      <color rgb="FF404040"/>
      <name val="Arial"/>
      <family val="2"/>
      <charset val="1"/>
    </font>
    <font>
      <sz val="8"/>
      <color theme="1"/>
      <name val="Arial"/>
      <family val="2"/>
      <charset val="1"/>
    </font>
    <font>
      <sz val="8"/>
      <color rgb="FFC00000"/>
      <name val="Arial"/>
      <family val="2"/>
      <charset val="1"/>
    </font>
    <font>
      <b/>
      <sz val="14"/>
      <name val="Arial Black"/>
      <family val="2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9"/>
      <color rgb="FF333333"/>
      <name val="Arial"/>
      <family val="2"/>
    </font>
    <font>
      <b/>
      <sz val="16"/>
      <color rgb="FF404040"/>
      <name val="Arial"/>
      <family val="2"/>
      <charset val="1"/>
    </font>
    <font>
      <b/>
      <sz val="12"/>
      <color rgb="FF404040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2"/>
      <color theme="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1"/>
      <name val="Arial"/>
      <family val="2"/>
      <charset val="1"/>
    </font>
    <font>
      <sz val="9"/>
      <color rgb="FF000000"/>
      <name val="Arial"/>
      <family val="2"/>
      <charset val="1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D6DCE4"/>
        <bgColor rgb="FFDDDDDD"/>
      </patternFill>
    </fill>
    <fill>
      <patternFill patternType="solid">
        <fgColor rgb="FFD9D9D9"/>
        <bgColor rgb="FFDDDDDD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808080"/>
        <bgColor rgb="FF969696"/>
      </patternFill>
    </fill>
    <fill>
      <patternFill patternType="solid">
        <fgColor theme="0" tint="-0.499984740745262"/>
        <bgColor rgb="FFC0C0C0"/>
      </patternFill>
    </fill>
    <fill>
      <patternFill patternType="solid">
        <fgColor rgb="FFBFBFBF"/>
        <bgColor rgb="FFC0C0C0"/>
      </patternFill>
    </fill>
    <fill>
      <patternFill patternType="solid">
        <fgColor theme="0" tint="-0.14999847407452621"/>
        <bgColor rgb="FFDDDDDD"/>
      </patternFill>
    </fill>
    <fill>
      <patternFill patternType="solid">
        <fgColor theme="0"/>
        <bgColor rgb="FFDDDDDD"/>
      </patternFill>
    </fill>
    <fill>
      <patternFill patternType="solid">
        <fgColor theme="0"/>
        <bgColor rgb="FFF2F2F2"/>
      </patternFill>
    </fill>
    <fill>
      <patternFill patternType="solid">
        <fgColor theme="0" tint="-0.34998626667073579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rgb="FF404040"/>
      </bottom>
      <diagonal/>
    </border>
    <border>
      <left/>
      <right/>
      <top style="medium">
        <color rgb="FF404040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8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6">
    <xf numFmtId="0" fontId="0" fillId="0" borderId="0" xfId="0"/>
    <xf numFmtId="49" fontId="5" fillId="2" borderId="0" xfId="4" applyNumberFormat="1" applyFont="1" applyFill="1" applyBorder="1" applyAlignment="1">
      <alignment horizontal="center" vertical="center"/>
    </xf>
    <xf numFmtId="0" fontId="7" fillId="2" borderId="0" xfId="4" applyFont="1" applyFill="1" applyBorder="1" applyAlignment="1">
      <alignment horizontal="left"/>
    </xf>
    <xf numFmtId="0" fontId="7" fillId="2" borderId="0" xfId="4" applyFont="1" applyFill="1" applyBorder="1" applyAlignment="1">
      <alignment horizontal="right"/>
    </xf>
    <xf numFmtId="10" fontId="9" fillId="2" borderId="0" xfId="5" applyNumberFormat="1" applyFont="1" applyFill="1" applyBorder="1" applyAlignment="1" applyProtection="1">
      <alignment horizontal="left" vertical="center"/>
    </xf>
    <xf numFmtId="0" fontId="11" fillId="2" borderId="0" xfId="4" applyFont="1" applyFill="1" applyAlignment="1">
      <alignment vertical="center"/>
    </xf>
    <xf numFmtId="0" fontId="12" fillId="2" borderId="0" xfId="4" applyFont="1" applyFill="1" applyAlignment="1">
      <alignment vertical="center"/>
    </xf>
    <xf numFmtId="0" fontId="13" fillId="2" borderId="0" xfId="4" applyFont="1" applyFill="1" applyAlignment="1">
      <alignment vertical="center"/>
    </xf>
    <xf numFmtId="0" fontId="14" fillId="0" borderId="2" xfId="4" applyFont="1" applyBorder="1" applyAlignment="1">
      <alignment horizontal="center" vertical="center"/>
    </xf>
    <xf numFmtId="0" fontId="14" fillId="0" borderId="3" xfId="4" applyFont="1" applyBorder="1" applyAlignment="1">
      <alignment horizontal="center" vertical="center" wrapText="1"/>
    </xf>
    <xf numFmtId="0" fontId="11" fillId="0" borderId="4" xfId="4" applyFont="1" applyBorder="1" applyAlignment="1">
      <alignment horizontal="center" vertical="center" wrapText="1"/>
    </xf>
    <xf numFmtId="0" fontId="11" fillId="0" borderId="5" xfId="4" applyFont="1" applyBorder="1" applyAlignment="1">
      <alignment horizontal="left" vertical="center" wrapText="1"/>
    </xf>
    <xf numFmtId="10" fontId="11" fillId="0" borderId="6" xfId="5" applyNumberFormat="1" applyFont="1" applyBorder="1" applyAlignment="1" applyProtection="1">
      <alignment vertical="center" wrapText="1"/>
    </xf>
    <xf numFmtId="0" fontId="11" fillId="0" borderId="7" xfId="4" applyFont="1" applyBorder="1" applyAlignment="1">
      <alignment horizontal="center" vertical="center" wrapText="1"/>
    </xf>
    <xf numFmtId="0" fontId="11" fillId="0" borderId="8" xfId="4" applyFont="1" applyBorder="1" applyAlignment="1">
      <alignment horizontal="left" vertical="center" wrapText="1"/>
    </xf>
    <xf numFmtId="10" fontId="11" fillId="0" borderId="9" xfId="5" applyNumberFormat="1" applyFont="1" applyBorder="1" applyAlignment="1" applyProtection="1">
      <alignment vertical="center" wrapText="1"/>
    </xf>
    <xf numFmtId="10" fontId="11" fillId="0" borderId="9" xfId="4" applyNumberFormat="1" applyFont="1" applyBorder="1" applyAlignment="1">
      <alignment vertical="center" wrapText="1"/>
    </xf>
    <xf numFmtId="0" fontId="15" fillId="0" borderId="8" xfId="4" applyFont="1" applyBorder="1" applyAlignment="1">
      <alignment horizontal="left" vertical="center" wrapText="1"/>
    </xf>
    <xf numFmtId="10" fontId="16" fillId="3" borderId="9" xfId="5" applyNumberFormat="1" applyFont="1" applyFill="1" applyBorder="1" applyAlignment="1" applyProtection="1">
      <alignment vertical="center" wrapText="1"/>
    </xf>
    <xf numFmtId="0" fontId="4" fillId="2" borderId="0" xfId="4" applyFill="1"/>
    <xf numFmtId="0" fontId="15" fillId="0" borderId="11" xfId="4" applyFont="1" applyBorder="1" applyAlignment="1">
      <alignment horizontal="left" vertical="center" wrapText="1"/>
    </xf>
    <xf numFmtId="10" fontId="11" fillId="0" borderId="12" xfId="4" applyNumberFormat="1" applyFont="1" applyBorder="1" applyAlignment="1">
      <alignment vertical="center" wrapText="1"/>
    </xf>
    <xf numFmtId="10" fontId="17" fillId="0" borderId="6" xfId="4" applyNumberFormat="1" applyFont="1" applyBorder="1" applyAlignment="1" applyProtection="1">
      <alignment horizontal="right" vertical="center"/>
    </xf>
    <xf numFmtId="10" fontId="17" fillId="2" borderId="12" xfId="4" applyNumberFormat="1" applyFont="1" applyFill="1" applyBorder="1" applyAlignment="1" applyProtection="1">
      <alignment horizontal="right" vertical="center"/>
    </xf>
    <xf numFmtId="0" fontId="11" fillId="2" borderId="13" xfId="4" applyFont="1" applyFill="1" applyBorder="1" applyAlignment="1">
      <alignment vertical="center"/>
    </xf>
    <xf numFmtId="0" fontId="18" fillId="2" borderId="0" xfId="5" applyFont="1" applyFill="1" applyBorder="1" applyAlignment="1" applyProtection="1">
      <alignment horizontal="center" vertical="center"/>
    </xf>
    <xf numFmtId="0" fontId="19" fillId="2" borderId="0" xfId="5" applyFont="1" applyFill="1" applyBorder="1" applyAlignment="1" applyProtection="1">
      <alignment horizontal="left" vertical="center"/>
    </xf>
    <xf numFmtId="10" fontId="18" fillId="2" borderId="0" xfId="5" applyNumberFormat="1" applyFont="1" applyFill="1" applyBorder="1" applyAlignment="1" applyProtection="1">
      <alignment horizontal="center" vertical="center"/>
    </xf>
    <xf numFmtId="0" fontId="20" fillId="2" borderId="0" xfId="4" applyFont="1" applyFill="1" applyAlignment="1">
      <alignment vertical="center"/>
    </xf>
    <xf numFmtId="0" fontId="11" fillId="2" borderId="0" xfId="4" applyFont="1" applyFill="1" applyBorder="1" applyAlignment="1">
      <alignment vertical="center"/>
    </xf>
    <xf numFmtId="0" fontId="20" fillId="2" borderId="0" xfId="4" applyFont="1" applyFill="1" applyBorder="1" applyAlignment="1">
      <alignment vertical="center"/>
    </xf>
    <xf numFmtId="0" fontId="4" fillId="0" borderId="0" xfId="4"/>
    <xf numFmtId="0" fontId="4" fillId="3" borderId="0" xfId="4" applyFill="1"/>
    <xf numFmtId="0" fontId="21" fillId="0" borderId="0" xfId="0" applyFont="1"/>
    <xf numFmtId="0" fontId="22" fillId="4" borderId="15" xfId="3" applyFont="1" applyFill="1" applyBorder="1" applyAlignment="1" applyProtection="1">
      <alignment horizontal="center" vertical="center" wrapText="1"/>
      <protection hidden="1"/>
    </xf>
    <xf numFmtId="0" fontId="22" fillId="4" borderId="16" xfId="3" applyFont="1" applyFill="1" applyBorder="1" applyAlignment="1" applyProtection="1">
      <alignment horizontal="center" vertical="center" wrapText="1"/>
      <protection hidden="1"/>
    </xf>
    <xf numFmtId="164" fontId="22" fillId="4" borderId="16" xfId="3" applyNumberFormat="1" applyFont="1" applyFill="1" applyBorder="1" applyAlignment="1" applyProtection="1">
      <alignment horizontal="center" vertical="center" wrapText="1"/>
    </xf>
    <xf numFmtId="164" fontId="23" fillId="4" borderId="16" xfId="3" applyNumberFormat="1" applyFont="1" applyFill="1" applyBorder="1" applyAlignment="1" applyProtection="1">
      <alignment horizontal="center" vertical="center" wrapText="1"/>
    </xf>
    <xf numFmtId="0" fontId="24" fillId="5" borderId="7" xfId="3" applyFont="1" applyFill="1" applyBorder="1" applyAlignment="1" applyProtection="1">
      <alignment horizontal="center" vertical="center"/>
      <protection locked="0"/>
    </xf>
    <xf numFmtId="0" fontId="25" fillId="2" borderId="8" xfId="3" applyFont="1" applyFill="1" applyBorder="1" applyAlignment="1" applyProtection="1">
      <alignment horizontal="center" vertical="center"/>
      <protection locked="0"/>
    </xf>
    <xf numFmtId="0" fontId="15" fillId="2" borderId="8" xfId="3" applyFont="1" applyFill="1" applyBorder="1" applyAlignment="1" applyProtection="1">
      <alignment horizontal="left" vertical="center" wrapText="1"/>
      <protection hidden="1"/>
    </xf>
    <xf numFmtId="0" fontId="15" fillId="2" borderId="8" xfId="3" applyFont="1" applyFill="1" applyBorder="1" applyAlignment="1" applyProtection="1">
      <alignment horizontal="center" vertical="center" wrapText="1"/>
      <protection hidden="1"/>
    </xf>
    <xf numFmtId="165" fontId="15" fillId="0" borderId="8" xfId="3" applyNumberFormat="1" applyFont="1" applyBorder="1" applyAlignment="1" applyProtection="1">
      <alignment horizontal="right" vertical="center" wrapText="1"/>
      <protection locked="0"/>
    </xf>
    <xf numFmtId="165" fontId="15" fillId="2" borderId="8" xfId="3" applyNumberFormat="1" applyFont="1" applyFill="1" applyBorder="1" applyAlignment="1" applyProtection="1">
      <alignment horizontal="center" vertical="center" wrapText="1"/>
      <protection locked="0"/>
    </xf>
    <xf numFmtId="2" fontId="15" fillId="2" borderId="8" xfId="3" applyNumberFormat="1" applyFont="1" applyFill="1" applyBorder="1" applyAlignment="1" applyProtection="1">
      <alignment horizontal="center" vertical="center" wrapText="1"/>
      <protection hidden="1"/>
    </xf>
    <xf numFmtId="2" fontId="26" fillId="2" borderId="8" xfId="3" applyNumberFormat="1" applyFont="1" applyFill="1" applyBorder="1" applyAlignment="1" applyProtection="1">
      <alignment horizontal="center" vertical="center" wrapText="1"/>
      <protection hidden="1"/>
    </xf>
    <xf numFmtId="10" fontId="27" fillId="0" borderId="8" xfId="3" applyNumberFormat="1" applyFont="1" applyBorder="1" applyAlignment="1" applyProtection="1">
      <alignment horizontal="center" vertical="center" wrapText="1"/>
      <protection hidden="1"/>
    </xf>
    <xf numFmtId="10" fontId="27" fillId="2" borderId="8" xfId="3" applyNumberFormat="1" applyFont="1" applyFill="1" applyBorder="1" applyAlignment="1" applyProtection="1">
      <alignment horizontal="center" vertical="center" wrapText="1"/>
      <protection hidden="1"/>
    </xf>
    <xf numFmtId="43" fontId="15" fillId="2" borderId="8" xfId="1" applyNumberFormat="1" applyFont="1" applyFill="1" applyBorder="1" applyAlignment="1" applyProtection="1">
      <alignment horizontal="center" vertical="center" wrapText="1"/>
      <protection locked="0"/>
    </xf>
    <xf numFmtId="165" fontId="22" fillId="2" borderId="17" xfId="3" applyNumberFormat="1" applyFont="1" applyFill="1" applyBorder="1" applyAlignment="1" applyProtection="1">
      <alignment horizontal="right" vertical="center" wrapText="1"/>
    </xf>
    <xf numFmtId="0" fontId="0" fillId="0" borderId="18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166" fontId="0" fillId="0" borderId="18" xfId="2" applyNumberFormat="1" applyFont="1" applyBorder="1" applyAlignment="1">
      <alignment horizontal="center" vertical="center"/>
    </xf>
    <xf numFmtId="0" fontId="29" fillId="7" borderId="27" xfId="6" applyFont="1" applyFill="1" applyBorder="1" applyAlignment="1">
      <alignment horizontal="center" vertical="center"/>
    </xf>
    <xf numFmtId="0" fontId="29" fillId="7" borderId="19" xfId="6" applyFont="1" applyFill="1" applyBorder="1" applyAlignment="1">
      <alignment horizontal="center" vertical="center" wrapText="1"/>
    </xf>
    <xf numFmtId="167" fontId="29" fillId="7" borderId="19" xfId="7" applyFont="1" applyFill="1" applyBorder="1" applyAlignment="1">
      <alignment horizontal="center" vertical="center"/>
    </xf>
    <xf numFmtId="168" fontId="29" fillId="7" borderId="19" xfId="7" applyNumberFormat="1" applyFont="1" applyFill="1" applyBorder="1" applyAlignment="1">
      <alignment horizontal="center" vertical="center"/>
    </xf>
    <xf numFmtId="167" fontId="29" fillId="7" borderId="19" xfId="7" applyFont="1" applyFill="1" applyBorder="1" applyAlignment="1">
      <alignment horizontal="center" vertical="center" wrapText="1"/>
    </xf>
    <xf numFmtId="167" fontId="29" fillId="7" borderId="28" xfId="7" applyFont="1" applyFill="1" applyBorder="1" applyAlignment="1">
      <alignment horizontal="center" vertical="center" wrapText="1"/>
    </xf>
    <xf numFmtId="0" fontId="29" fillId="8" borderId="29" xfId="6" applyFont="1" applyFill="1" applyBorder="1" applyAlignment="1">
      <alignment horizontal="center" vertical="center" wrapText="1"/>
    </xf>
    <xf numFmtId="0" fontId="29" fillId="9" borderId="18" xfId="6" applyNumberFormat="1" applyFont="1" applyFill="1" applyBorder="1" applyAlignment="1">
      <alignment vertical="center" wrapText="1"/>
    </xf>
    <xf numFmtId="167" fontId="30" fillId="8" borderId="18" xfId="7" applyFont="1" applyFill="1" applyBorder="1" applyAlignment="1">
      <alignment horizontal="center" vertical="center"/>
    </xf>
    <xf numFmtId="2" fontId="30" fillId="8" borderId="18" xfId="7" applyNumberFormat="1" applyFont="1" applyFill="1" applyBorder="1" applyAlignment="1">
      <alignment vertical="center"/>
    </xf>
    <xf numFmtId="167" fontId="30" fillId="8" borderId="30" xfId="7" applyFont="1" applyFill="1" applyBorder="1" applyAlignment="1">
      <alignment horizontal="center" vertical="center"/>
    </xf>
    <xf numFmtId="167" fontId="31" fillId="8" borderId="18" xfId="7" applyFont="1" applyFill="1" applyBorder="1" applyAlignment="1">
      <alignment horizontal="right" vertical="center"/>
    </xf>
    <xf numFmtId="0" fontId="33" fillId="3" borderId="18" xfId="6" applyFont="1" applyFill="1" applyBorder="1" applyAlignment="1">
      <alignment horizontal="left" wrapText="1"/>
    </xf>
    <xf numFmtId="0" fontId="33" fillId="3" borderId="18" xfId="6" applyFont="1" applyFill="1" applyBorder="1" applyAlignment="1">
      <alignment horizontal="center" vertical="center" wrapText="1"/>
    </xf>
    <xf numFmtId="0" fontId="33" fillId="3" borderId="18" xfId="6" applyFont="1" applyFill="1" applyBorder="1" applyAlignment="1">
      <alignment horizontal="center" vertical="center"/>
    </xf>
    <xf numFmtId="2" fontId="32" fillId="0" borderId="18" xfId="7" applyNumberFormat="1" applyFont="1" applyBorder="1" applyAlignment="1">
      <alignment vertical="center" wrapText="1"/>
    </xf>
    <xf numFmtId="167" fontId="35" fillId="10" borderId="18" xfId="7" applyFont="1" applyFill="1" applyBorder="1" applyAlignment="1">
      <alignment horizontal="right" vertical="center"/>
    </xf>
    <xf numFmtId="167" fontId="34" fillId="11" borderId="30" xfId="7" applyFont="1" applyFill="1" applyBorder="1" applyAlignment="1">
      <alignment horizontal="center" vertical="center"/>
    </xf>
    <xf numFmtId="0" fontId="33" fillId="3" borderId="29" xfId="6" applyFont="1" applyFill="1" applyBorder="1" applyAlignment="1">
      <alignment horizontal="center" vertical="center"/>
    </xf>
    <xf numFmtId="0" fontId="33" fillId="3" borderId="18" xfId="6" applyFont="1" applyFill="1" applyBorder="1" applyAlignment="1">
      <alignment horizontal="left" vertical="center" wrapText="1"/>
    </xf>
    <xf numFmtId="169" fontId="32" fillId="3" borderId="18" xfId="7" applyNumberFormat="1" applyFont="1" applyFill="1" applyBorder="1" applyAlignment="1">
      <alignment vertical="center" wrapText="1"/>
    </xf>
    <xf numFmtId="167" fontId="31" fillId="8" borderId="18" xfId="7" applyNumberFormat="1" applyFont="1" applyFill="1" applyBorder="1" applyAlignment="1">
      <alignment horizontal="right" vertical="center"/>
    </xf>
    <xf numFmtId="167" fontId="30" fillId="8" borderId="30" xfId="7" applyNumberFormat="1" applyFont="1" applyFill="1" applyBorder="1" applyAlignment="1">
      <alignment horizontal="center" vertical="center"/>
    </xf>
    <xf numFmtId="0" fontId="36" fillId="0" borderId="29" xfId="6" applyFont="1" applyFill="1" applyBorder="1" applyAlignment="1">
      <alignment horizontal="center" vertical="center" wrapText="1"/>
    </xf>
    <xf numFmtId="0" fontId="36" fillId="0" borderId="18" xfId="6" applyNumberFormat="1" applyFont="1" applyFill="1" applyBorder="1" applyAlignment="1">
      <alignment vertical="center" wrapText="1"/>
    </xf>
    <xf numFmtId="0" fontId="36" fillId="0" borderId="18" xfId="6" applyNumberFormat="1" applyFont="1" applyFill="1" applyBorder="1" applyAlignment="1">
      <alignment horizontal="center" vertical="center" wrapText="1"/>
    </xf>
    <xf numFmtId="167" fontId="35" fillId="10" borderId="18" xfId="7" applyNumberFormat="1" applyFont="1" applyFill="1" applyBorder="1" applyAlignment="1">
      <alignment horizontal="right" vertical="center"/>
    </xf>
    <xf numFmtId="167" fontId="34" fillId="11" borderId="30" xfId="7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32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35" xfId="0" applyFill="1" applyBorder="1"/>
    <xf numFmtId="0" fontId="40" fillId="3" borderId="34" xfId="0" applyFont="1" applyFill="1" applyBorder="1"/>
    <xf numFmtId="14" fontId="41" fillId="3" borderId="18" xfId="0" applyNumberFormat="1" applyFont="1" applyFill="1" applyBorder="1" applyAlignment="1">
      <alignment horizontal="center" vertical="center"/>
    </xf>
    <xf numFmtId="0" fontId="0" fillId="3" borderId="37" xfId="0" applyFill="1" applyBorder="1"/>
    <xf numFmtId="0" fontId="0" fillId="3" borderId="38" xfId="0" applyFill="1" applyBorder="1"/>
    <xf numFmtId="0" fontId="0" fillId="3" borderId="0" xfId="0" applyFill="1" applyBorder="1"/>
    <xf numFmtId="0" fontId="0" fillId="3" borderId="0" xfId="0" applyFill="1" applyBorder="1" applyAlignment="1">
      <alignment vertical="center"/>
    </xf>
    <xf numFmtId="44" fontId="0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168" fontId="32" fillId="3" borderId="18" xfId="7" applyNumberFormat="1" applyFont="1" applyFill="1" applyBorder="1" applyAlignment="1">
      <alignment vertical="center" wrapText="1"/>
    </xf>
    <xf numFmtId="2" fontId="32" fillId="3" borderId="18" xfId="7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37" fillId="3" borderId="29" xfId="6" applyFont="1" applyFill="1" applyBorder="1" applyAlignment="1">
      <alignment horizontal="center" vertical="center" wrapText="1"/>
    </xf>
    <xf numFmtId="167" fontId="35" fillId="3" borderId="18" xfId="7" applyFont="1" applyFill="1" applyBorder="1" applyAlignment="1">
      <alignment horizontal="right" vertical="center"/>
    </xf>
    <xf numFmtId="167" fontId="34" fillId="3" borderId="30" xfId="7" applyFont="1" applyFill="1" applyBorder="1" applyAlignment="1">
      <alignment horizontal="center" vertical="center"/>
    </xf>
    <xf numFmtId="167" fontId="35" fillId="3" borderId="18" xfId="7" applyNumberFormat="1" applyFont="1" applyFill="1" applyBorder="1" applyAlignment="1">
      <alignment horizontal="right" vertical="center"/>
    </xf>
    <xf numFmtId="167" fontId="34" fillId="3" borderId="30" xfId="7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6" fillId="0" borderId="40" xfId="6" applyFont="1" applyFill="1" applyBorder="1" applyAlignment="1">
      <alignment horizontal="center" vertical="center" wrapText="1"/>
    </xf>
    <xf numFmtId="0" fontId="45" fillId="0" borderId="36" xfId="0" applyFont="1" applyBorder="1" applyAlignment="1">
      <alignment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166" fontId="0" fillId="0" borderId="0" xfId="2" applyNumberFormat="1" applyFont="1" applyBorder="1" applyAlignment="1">
      <alignment horizontal="center" vertical="center"/>
    </xf>
    <xf numFmtId="0" fontId="41" fillId="3" borderId="18" xfId="0" applyFont="1" applyFill="1" applyBorder="1" applyAlignment="1">
      <alignment vertical="center" wrapText="1"/>
    </xf>
    <xf numFmtId="44" fontId="41" fillId="3" borderId="18" xfId="2" applyFont="1" applyFill="1" applyBorder="1" applyAlignment="1">
      <alignment horizontal="center" vertical="center"/>
    </xf>
    <xf numFmtId="44" fontId="41" fillId="3" borderId="18" xfId="2" applyNumberFormat="1" applyFont="1" applyFill="1" applyBorder="1" applyAlignment="1">
      <alignment horizontal="center" vertical="center"/>
    </xf>
    <xf numFmtId="1" fontId="41" fillId="3" borderId="18" xfId="0" applyNumberFormat="1" applyFont="1" applyFill="1" applyBorder="1" applyAlignment="1">
      <alignment horizontal="center" vertical="center"/>
    </xf>
    <xf numFmtId="2" fontId="41" fillId="3" borderId="18" xfId="0" applyNumberFormat="1" applyFont="1" applyFill="1" applyBorder="1" applyAlignment="1">
      <alignment horizontal="center" vertical="center"/>
    </xf>
    <xf numFmtId="0" fontId="38" fillId="3" borderId="0" xfId="0" applyFont="1" applyFill="1" applyBorder="1" applyAlignment="1">
      <alignment horizontal="center" vertical="center"/>
    </xf>
    <xf numFmtId="0" fontId="41" fillId="3" borderId="0" xfId="0" applyFont="1" applyFill="1" applyBorder="1" applyAlignment="1">
      <alignment horizontal="center" vertical="center"/>
    </xf>
    <xf numFmtId="0" fontId="42" fillId="3" borderId="0" xfId="0" applyFont="1" applyFill="1" applyBorder="1" applyAlignment="1">
      <alignment vertical="center" wrapText="1"/>
    </xf>
    <xf numFmtId="0" fontId="42" fillId="3" borderId="0" xfId="0" applyFont="1" applyFill="1" applyBorder="1" applyAlignment="1">
      <alignment horizontal="center" vertical="center"/>
    </xf>
    <xf numFmtId="44" fontId="42" fillId="3" borderId="0" xfId="2" applyFont="1" applyFill="1" applyBorder="1" applyAlignment="1">
      <alignment horizontal="center" vertical="center"/>
    </xf>
    <xf numFmtId="44" fontId="42" fillId="3" borderId="0" xfId="2" applyNumberFormat="1" applyFont="1" applyFill="1" applyBorder="1" applyAlignment="1">
      <alignment horizontal="center" vertical="center"/>
    </xf>
    <xf numFmtId="0" fontId="0" fillId="3" borderId="0" xfId="0" applyFill="1" applyAlignment="1">
      <alignment wrapText="1"/>
    </xf>
    <xf numFmtId="0" fontId="41" fillId="3" borderId="39" xfId="0" applyFont="1" applyFill="1" applyBorder="1" applyAlignment="1">
      <alignment horizontal="center" vertical="center"/>
    </xf>
    <xf numFmtId="0" fontId="41" fillId="3" borderId="39" xfId="0" applyFont="1" applyFill="1" applyBorder="1" applyAlignment="1">
      <alignment vertical="center" wrapText="1"/>
    </xf>
    <xf numFmtId="44" fontId="41" fillId="3" borderId="39" xfId="2" applyFont="1" applyFill="1" applyBorder="1" applyAlignment="1">
      <alignment horizontal="center" vertical="center"/>
    </xf>
    <xf numFmtId="44" fontId="41" fillId="3" borderId="39" xfId="2" applyNumberFormat="1" applyFont="1" applyFill="1" applyBorder="1" applyAlignment="1">
      <alignment horizontal="center" vertical="center"/>
    </xf>
    <xf numFmtId="0" fontId="41" fillId="3" borderId="35" xfId="0" applyFont="1" applyFill="1" applyBorder="1" applyAlignment="1">
      <alignment horizontal="center" vertical="center"/>
    </xf>
    <xf numFmtId="0" fontId="41" fillId="3" borderId="35" xfId="0" applyFont="1" applyFill="1" applyBorder="1" applyAlignment="1">
      <alignment vertical="center" wrapText="1"/>
    </xf>
    <xf numFmtId="44" fontId="41" fillId="3" borderId="35" xfId="2" applyFont="1" applyFill="1" applyBorder="1" applyAlignment="1">
      <alignment horizontal="center" vertical="center"/>
    </xf>
    <xf numFmtId="44" fontId="41" fillId="3" borderId="35" xfId="2" applyNumberFormat="1" applyFont="1" applyFill="1" applyBorder="1" applyAlignment="1">
      <alignment horizontal="center" vertical="center"/>
    </xf>
    <xf numFmtId="2" fontId="41" fillId="3" borderId="35" xfId="0" applyNumberFormat="1" applyFont="1" applyFill="1" applyBorder="1" applyAlignment="1">
      <alignment horizontal="center" vertical="center"/>
    </xf>
    <xf numFmtId="44" fontId="0" fillId="3" borderId="0" xfId="0" applyNumberFormat="1" applyFill="1" applyAlignment="1">
      <alignment wrapText="1"/>
    </xf>
    <xf numFmtId="44" fontId="0" fillId="3" borderId="0" xfId="0" applyNumberFormat="1" applyFill="1" applyAlignment="1">
      <alignment horizontal="left"/>
    </xf>
    <xf numFmtId="0" fontId="44" fillId="12" borderId="18" xfId="0" applyFont="1" applyFill="1" applyBorder="1" applyAlignment="1">
      <alignment horizontal="center" vertical="center"/>
    </xf>
    <xf numFmtId="0" fontId="44" fillId="12" borderId="18" xfId="0" applyFont="1" applyFill="1" applyBorder="1" applyAlignment="1">
      <alignment horizontal="left" vertical="center"/>
    </xf>
    <xf numFmtId="0" fontId="44" fillId="12" borderId="18" xfId="0" applyFont="1" applyFill="1" applyBorder="1" applyAlignment="1">
      <alignment horizontal="center" vertical="center" wrapText="1"/>
    </xf>
    <xf numFmtId="0" fontId="44" fillId="12" borderId="19" xfId="0" applyFont="1" applyFill="1" applyBorder="1" applyAlignment="1">
      <alignment horizontal="center" vertical="center" wrapText="1"/>
    </xf>
    <xf numFmtId="0" fontId="44" fillId="12" borderId="19" xfId="0" applyFont="1" applyFill="1" applyBorder="1" applyAlignment="1">
      <alignment horizontal="center" vertical="center"/>
    </xf>
    <xf numFmtId="0" fontId="44" fillId="12" borderId="19" xfId="0" applyFont="1" applyFill="1" applyBorder="1" applyAlignment="1">
      <alignment horizontal="left" vertical="center"/>
    </xf>
    <xf numFmtId="170" fontId="15" fillId="2" borderId="8" xfId="1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Alignment="1">
      <alignment horizontal="center" vertical="center"/>
    </xf>
    <xf numFmtId="171" fontId="0" fillId="0" borderId="0" xfId="0" applyNumberFormat="1" applyAlignment="1">
      <alignment horizontal="center" vertical="center"/>
    </xf>
    <xf numFmtId="10" fontId="52" fillId="0" borderId="46" xfId="8" applyNumberFormat="1" applyFont="1" applyBorder="1" applyAlignment="1" applyProtection="1">
      <alignment horizontal="center" vertical="center"/>
    </xf>
    <xf numFmtId="172" fontId="24" fillId="5" borderId="47" xfId="3" applyNumberFormat="1" applyFont="1" applyFill="1" applyBorder="1" applyAlignment="1" applyProtection="1">
      <alignment horizontal="center" vertical="center"/>
    </xf>
    <xf numFmtId="172" fontId="24" fillId="5" borderId="48" xfId="3" applyNumberFormat="1" applyFont="1" applyFill="1" applyBorder="1" applyAlignment="1" applyProtection="1">
      <alignment horizontal="center" vertical="center"/>
      <protection locked="0"/>
    </xf>
    <xf numFmtId="172" fontId="24" fillId="5" borderId="49" xfId="3" applyNumberFormat="1" applyFont="1" applyFill="1" applyBorder="1" applyAlignment="1" applyProtection="1">
      <alignment horizontal="center" vertical="center"/>
    </xf>
    <xf numFmtId="10" fontId="24" fillId="5" borderId="42" xfId="8" applyNumberFormat="1" applyFont="1" applyFill="1" applyBorder="1" applyAlignment="1" applyProtection="1">
      <alignment horizontal="center" vertical="center"/>
    </xf>
    <xf numFmtId="172" fontId="53" fillId="7" borderId="52" xfId="3" applyNumberFormat="1" applyFont="1" applyFill="1" applyBorder="1" applyAlignment="1" applyProtection="1">
      <alignment horizontal="center" vertical="center"/>
    </xf>
    <xf numFmtId="172" fontId="53" fillId="3" borderId="44" xfId="3" applyNumberFormat="1" applyFont="1" applyFill="1" applyBorder="1" applyAlignment="1" applyProtection="1">
      <alignment horizontal="center" vertical="center"/>
    </xf>
    <xf numFmtId="10" fontId="24" fillId="5" borderId="47" xfId="8" applyNumberFormat="1" applyFont="1" applyFill="1" applyBorder="1" applyAlignment="1" applyProtection="1">
      <alignment horizontal="center" vertical="center"/>
    </xf>
    <xf numFmtId="9" fontId="0" fillId="0" borderId="0" xfId="8" applyFont="1" applyAlignment="1">
      <alignment horizontal="center"/>
    </xf>
    <xf numFmtId="175" fontId="42" fillId="3" borderId="0" xfId="8" applyNumberFormat="1" applyFont="1" applyFill="1" applyBorder="1" applyAlignment="1">
      <alignment horizontal="center" vertical="center"/>
    </xf>
    <xf numFmtId="44" fontId="0" fillId="3" borderId="0" xfId="0" applyNumberFormat="1" applyFill="1"/>
    <xf numFmtId="0" fontId="0" fillId="0" borderId="18" xfId="0" applyBorder="1" applyAlignment="1">
      <alignment horizontal="center" vertical="center"/>
    </xf>
    <xf numFmtId="0" fontId="41" fillId="3" borderId="0" xfId="0" applyFont="1" applyFill="1" applyBorder="1" applyAlignment="1">
      <alignment horizontal="center"/>
    </xf>
    <xf numFmtId="10" fontId="41" fillId="3" borderId="0" xfId="0" applyNumberFormat="1" applyFont="1" applyFill="1" applyBorder="1" applyAlignment="1">
      <alignment horizontal="center" vertical="center"/>
    </xf>
    <xf numFmtId="0" fontId="55" fillId="7" borderId="18" xfId="0" applyFont="1" applyFill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38" fillId="0" borderId="18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44" fontId="38" fillId="0" borderId="0" xfId="2" applyFont="1" applyAlignment="1">
      <alignment vertical="center"/>
    </xf>
    <xf numFmtId="44" fontId="38" fillId="0" borderId="18" xfId="2" applyFont="1" applyBorder="1" applyAlignment="1">
      <alignment vertical="center"/>
    </xf>
    <xf numFmtId="0" fontId="38" fillId="0" borderId="18" xfId="0" applyFont="1" applyBorder="1" applyAlignment="1">
      <alignment vertical="center" wrapText="1"/>
    </xf>
    <xf numFmtId="0" fontId="39" fillId="0" borderId="18" xfId="0" applyFont="1" applyBorder="1" applyAlignment="1">
      <alignment vertical="center"/>
    </xf>
    <xf numFmtId="0" fontId="0" fillId="3" borderId="53" xfId="0" applyFill="1" applyBorder="1"/>
    <xf numFmtId="0" fontId="0" fillId="3" borderId="56" xfId="0" applyFill="1" applyBorder="1"/>
    <xf numFmtId="9" fontId="0" fillId="0" borderId="0" xfId="8" applyFont="1"/>
    <xf numFmtId="0" fontId="39" fillId="19" borderId="18" xfId="0" applyFont="1" applyFill="1" applyBorder="1" applyAlignment="1">
      <alignment horizontal="center" vertical="center"/>
    </xf>
    <xf numFmtId="0" fontId="41" fillId="3" borderId="18" xfId="0" applyFont="1" applyFill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44" fontId="38" fillId="0" borderId="18" xfId="2" applyFont="1" applyBorder="1" applyAlignment="1">
      <alignment horizontal="center" vertical="center"/>
    </xf>
    <xf numFmtId="1" fontId="41" fillId="3" borderId="39" xfId="0" applyNumberFormat="1" applyFont="1" applyFill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0" fillId="3" borderId="59" xfId="0" applyFill="1" applyBorder="1"/>
    <xf numFmtId="0" fontId="0" fillId="3" borderId="25" xfId="0" applyFill="1" applyBorder="1"/>
    <xf numFmtId="0" fontId="0" fillId="3" borderId="26" xfId="0" applyFill="1" applyBorder="1"/>
    <xf numFmtId="10" fontId="24" fillId="17" borderId="61" xfId="8" applyNumberFormat="1" applyFont="1" applyFill="1" applyBorder="1" applyAlignment="1" applyProtection="1">
      <alignment horizontal="center" vertical="center"/>
      <protection locked="0"/>
    </xf>
    <xf numFmtId="9" fontId="52" fillId="0" borderId="61" xfId="8" applyFont="1" applyFill="1" applyBorder="1" applyAlignment="1" applyProtection="1">
      <alignment horizontal="center" vertical="center"/>
      <protection locked="0"/>
    </xf>
    <xf numFmtId="10" fontId="52" fillId="0" borderId="61" xfId="8" applyNumberFormat="1" applyFont="1" applyFill="1" applyBorder="1" applyAlignment="1" applyProtection="1">
      <alignment horizontal="center" vertical="center"/>
      <protection locked="0"/>
    </xf>
    <xf numFmtId="10" fontId="53" fillId="0" borderId="61" xfId="3" applyNumberFormat="1" applyFont="1" applyBorder="1" applyAlignment="1" applyProtection="1">
      <alignment horizontal="center" vertical="center"/>
    </xf>
    <xf numFmtId="10" fontId="53" fillId="3" borderId="61" xfId="8" applyNumberFormat="1" applyFont="1" applyFill="1" applyBorder="1" applyAlignment="1" applyProtection="1">
      <alignment horizontal="center" vertical="center"/>
    </xf>
    <xf numFmtId="10" fontId="53" fillId="3" borderId="55" xfId="8" applyNumberFormat="1" applyFont="1" applyFill="1" applyBorder="1" applyAlignment="1" applyProtection="1">
      <alignment horizontal="center" vertical="center"/>
    </xf>
    <xf numFmtId="172" fontId="24" fillId="17" borderId="44" xfId="3" applyNumberFormat="1" applyFont="1" applyFill="1" applyBorder="1" applyAlignment="1" applyProtection="1">
      <alignment horizontal="center" vertical="center"/>
      <protection locked="0"/>
    </xf>
    <xf numFmtId="174" fontId="52" fillId="0" borderId="44" xfId="2" applyNumberFormat="1" applyFont="1" applyFill="1" applyBorder="1" applyAlignment="1" applyProtection="1">
      <alignment horizontal="center" vertical="center"/>
      <protection locked="0"/>
    </xf>
    <xf numFmtId="172" fontId="24" fillId="5" borderId="52" xfId="3" applyNumberFormat="1" applyFont="1" applyFill="1" applyBorder="1" applyAlignment="1" applyProtection="1">
      <alignment horizontal="center" vertical="center"/>
      <protection locked="0"/>
    </xf>
    <xf numFmtId="174" fontId="52" fillId="0" borderId="52" xfId="2" applyNumberFormat="1" applyFont="1" applyFill="1" applyBorder="1" applyAlignment="1" applyProtection="1">
      <alignment horizontal="center" vertical="center"/>
      <protection locked="0"/>
    </xf>
    <xf numFmtId="10" fontId="24" fillId="5" borderId="43" xfId="8" applyNumberFormat="1" applyFont="1" applyFill="1" applyBorder="1" applyAlignment="1" applyProtection="1">
      <alignment horizontal="center" vertical="center"/>
      <protection locked="0"/>
    </xf>
    <xf numFmtId="9" fontId="52" fillId="0" borderId="43" xfId="8" applyFont="1" applyFill="1" applyBorder="1" applyAlignment="1" applyProtection="1">
      <alignment horizontal="center" vertical="center"/>
      <protection locked="0"/>
    </xf>
    <xf numFmtId="10" fontId="53" fillId="7" borderId="43" xfId="8" applyNumberFormat="1" applyFont="1" applyFill="1" applyBorder="1" applyAlignment="1" applyProtection="1">
      <alignment horizontal="center" vertical="center"/>
    </xf>
    <xf numFmtId="10" fontId="52" fillId="0" borderId="43" xfId="8" applyNumberFormat="1" applyFont="1" applyFill="1" applyBorder="1" applyAlignment="1" applyProtection="1">
      <alignment horizontal="center" vertical="center"/>
      <protection locked="0"/>
    </xf>
    <xf numFmtId="10" fontId="53" fillId="7" borderId="54" xfId="8" applyNumberFormat="1" applyFont="1" applyFill="1" applyBorder="1" applyAlignment="1" applyProtection="1">
      <alignment horizontal="center" vertical="center"/>
    </xf>
    <xf numFmtId="172" fontId="24" fillId="16" borderId="52" xfId="3" applyNumberFormat="1" applyFont="1" applyFill="1" applyBorder="1" applyAlignment="1" applyProtection="1">
      <alignment horizontal="center" vertical="center"/>
      <protection locked="0"/>
    </xf>
    <xf numFmtId="10" fontId="53" fillId="7" borderId="43" xfId="3" applyNumberFormat="1" applyFont="1" applyFill="1" applyBorder="1" applyAlignment="1" applyProtection="1">
      <alignment horizontal="center" vertical="center"/>
    </xf>
    <xf numFmtId="175" fontId="52" fillId="0" borderId="61" xfId="8" applyNumberFormat="1" applyFont="1" applyFill="1" applyBorder="1" applyAlignment="1" applyProtection="1">
      <alignment horizontal="center" vertical="center"/>
      <protection locked="0"/>
    </xf>
    <xf numFmtId="0" fontId="55" fillId="3" borderId="35" xfId="0" applyFont="1" applyFill="1" applyBorder="1" applyAlignment="1">
      <alignment vertical="center"/>
    </xf>
    <xf numFmtId="0" fontId="55" fillId="3" borderId="0" xfId="0" applyFont="1" applyFill="1" applyBorder="1" applyAlignment="1">
      <alignment vertical="center"/>
    </xf>
    <xf numFmtId="0" fontId="55" fillId="3" borderId="25" xfId="0" applyFont="1" applyFill="1" applyBorder="1" applyAlignment="1">
      <alignment vertical="center"/>
    </xf>
    <xf numFmtId="0" fontId="40" fillId="3" borderId="69" xfId="0" applyFont="1" applyFill="1" applyBorder="1"/>
    <xf numFmtId="0" fontId="0" fillId="3" borderId="70" xfId="0" applyFill="1" applyBorder="1"/>
    <xf numFmtId="0" fontId="0" fillId="3" borderId="71" xfId="0" applyFill="1" applyBorder="1"/>
    <xf numFmtId="0" fontId="0" fillId="3" borderId="72" xfId="0" applyFill="1" applyBorder="1"/>
    <xf numFmtId="0" fontId="0" fillId="3" borderId="56" xfId="0" applyFill="1" applyBorder="1" applyAlignment="1">
      <alignment vertical="center"/>
    </xf>
    <xf numFmtId="0" fontId="39" fillId="19" borderId="29" xfId="0" applyFont="1" applyFill="1" applyBorder="1" applyAlignment="1">
      <alignment horizontal="center" vertical="center"/>
    </xf>
    <xf numFmtId="0" fontId="39" fillId="19" borderId="59" xfId="0" applyFont="1" applyFill="1" applyBorder="1" applyAlignment="1">
      <alignment horizontal="center" vertical="center"/>
    </xf>
    <xf numFmtId="0" fontId="44" fillId="12" borderId="29" xfId="0" applyFont="1" applyFill="1" applyBorder="1" applyAlignment="1">
      <alignment horizontal="center" vertical="center"/>
    </xf>
    <xf numFmtId="44" fontId="44" fillId="12" borderId="59" xfId="0" applyNumberFormat="1" applyFont="1" applyFill="1" applyBorder="1" applyAlignment="1">
      <alignment horizontal="center" vertical="center"/>
    </xf>
    <xf numFmtId="0" fontId="41" fillId="3" borderId="29" xfId="0" applyFont="1" applyFill="1" applyBorder="1" applyAlignment="1">
      <alignment horizontal="center" vertical="center"/>
    </xf>
    <xf numFmtId="44" fontId="41" fillId="3" borderId="30" xfId="2" applyNumberFormat="1" applyFont="1" applyFill="1" applyBorder="1" applyAlignment="1">
      <alignment horizontal="center" vertical="center"/>
    </xf>
    <xf numFmtId="0" fontId="41" fillId="3" borderId="40" xfId="0" applyFont="1" applyFill="1" applyBorder="1" applyAlignment="1">
      <alignment horizontal="center" vertical="center"/>
    </xf>
    <xf numFmtId="44" fontId="41" fillId="3" borderId="59" xfId="2" applyNumberFormat="1" applyFont="1" applyFill="1" applyBorder="1" applyAlignment="1">
      <alignment horizontal="center" vertical="center"/>
    </xf>
    <xf numFmtId="0" fontId="44" fillId="12" borderId="27" xfId="0" applyFont="1" applyFill="1" applyBorder="1" applyAlignment="1">
      <alignment horizontal="center" vertical="center"/>
    </xf>
    <xf numFmtId="44" fontId="44" fillId="12" borderId="74" xfId="0" applyNumberFormat="1" applyFont="1" applyFill="1" applyBorder="1" applyAlignment="1">
      <alignment horizontal="center" vertical="center"/>
    </xf>
    <xf numFmtId="44" fontId="41" fillId="3" borderId="30" xfId="2" applyFont="1" applyFill="1" applyBorder="1" applyAlignment="1">
      <alignment horizontal="center" vertical="center"/>
    </xf>
    <xf numFmtId="44" fontId="41" fillId="3" borderId="51" xfId="2" applyFont="1" applyFill="1" applyBorder="1" applyAlignment="1">
      <alignment horizontal="center" vertical="center"/>
    </xf>
    <xf numFmtId="44" fontId="41" fillId="3" borderId="59" xfId="2" applyFont="1" applyFill="1" applyBorder="1" applyAlignment="1">
      <alignment horizontal="center" vertical="center"/>
    </xf>
    <xf numFmtId="44" fontId="44" fillId="12" borderId="75" xfId="0" applyNumberFormat="1" applyFont="1" applyFill="1" applyBorder="1" applyAlignment="1">
      <alignment vertical="center"/>
    </xf>
    <xf numFmtId="44" fontId="44" fillId="12" borderId="76" xfId="0" applyNumberFormat="1" applyFont="1" applyFill="1" applyBorder="1" applyAlignment="1">
      <alignment vertical="center"/>
    </xf>
    <xf numFmtId="44" fontId="39" fillId="12" borderId="77" xfId="0" applyNumberFormat="1" applyFont="1" applyFill="1" applyBorder="1" applyAlignment="1">
      <alignment vertical="center"/>
    </xf>
    <xf numFmtId="0" fontId="0" fillId="12" borderId="60" xfId="0" applyFill="1" applyBorder="1"/>
    <xf numFmtId="0" fontId="39" fillId="12" borderId="78" xfId="0" applyFont="1" applyFill="1" applyBorder="1" applyAlignment="1">
      <alignment horizontal="right" vertical="center"/>
    </xf>
    <xf numFmtId="10" fontId="11" fillId="0" borderId="9" xfId="5" applyNumberFormat="1" applyFont="1" applyFill="1" applyBorder="1" applyAlignment="1" applyProtection="1">
      <alignment vertical="center" wrapText="1"/>
    </xf>
    <xf numFmtId="0" fontId="42" fillId="3" borderId="67" xfId="0" applyFont="1" applyFill="1" applyBorder="1" applyAlignment="1">
      <alignment vertical="center" wrapText="1"/>
    </xf>
    <xf numFmtId="0" fontId="42" fillId="3" borderId="67" xfId="0" applyFont="1" applyFill="1" applyBorder="1" applyAlignment="1">
      <alignment horizontal="center" vertical="center"/>
    </xf>
    <xf numFmtId="174" fontId="0" fillId="0" borderId="0" xfId="0" applyNumberFormat="1"/>
    <xf numFmtId="4" fontId="0" fillId="0" borderId="0" xfId="0" applyNumberFormat="1"/>
    <xf numFmtId="43" fontId="0" fillId="0" borderId="0" xfId="0" applyNumberFormat="1"/>
    <xf numFmtId="44" fontId="0" fillId="0" borderId="0" xfId="0" applyNumberFormat="1"/>
    <xf numFmtId="172" fontId="24" fillId="17" borderId="52" xfId="3" applyNumberFormat="1" applyFont="1" applyFill="1" applyBorder="1" applyAlignment="1" applyProtection="1">
      <alignment horizontal="center" vertical="center"/>
      <protection locked="0"/>
    </xf>
    <xf numFmtId="172" fontId="53" fillId="3" borderId="52" xfId="3" applyNumberFormat="1" applyFont="1" applyFill="1" applyBorder="1" applyAlignment="1" applyProtection="1">
      <alignment horizontal="center" vertical="center"/>
    </xf>
    <xf numFmtId="10" fontId="53" fillId="3" borderId="54" xfId="8" applyNumberFormat="1" applyFont="1" applyFill="1" applyBorder="1" applyAlignment="1" applyProtection="1">
      <alignment horizontal="center" vertical="center"/>
    </xf>
    <xf numFmtId="0" fontId="42" fillId="3" borderId="38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68" xfId="0" applyFill="1" applyBorder="1" applyAlignment="1">
      <alignment horizontal="center"/>
    </xf>
    <xf numFmtId="0" fontId="0" fillId="3" borderId="5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73" xfId="0" applyFill="1" applyBorder="1" applyAlignment="1">
      <alignment horizontal="center"/>
    </xf>
    <xf numFmtId="0" fontId="0" fillId="3" borderId="67" xfId="0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39" fillId="19" borderId="18" xfId="0" applyFont="1" applyFill="1" applyBorder="1" applyAlignment="1">
      <alignment horizontal="center" vertical="center"/>
    </xf>
    <xf numFmtId="0" fontId="39" fillId="19" borderId="18" xfId="0" applyFont="1" applyFill="1" applyBorder="1" applyAlignment="1">
      <alignment horizontal="center" vertical="center" wrapText="1"/>
    </xf>
    <xf numFmtId="0" fontId="44" fillId="19" borderId="39" xfId="0" applyFont="1" applyFill="1" applyBorder="1" applyAlignment="1">
      <alignment horizontal="center" vertical="center" wrapText="1"/>
    </xf>
    <xf numFmtId="0" fontId="44" fillId="19" borderId="19" xfId="0" applyFont="1" applyFill="1" applyBorder="1" applyAlignment="1">
      <alignment horizontal="center" vertical="center" wrapText="1"/>
    </xf>
    <xf numFmtId="0" fontId="41" fillId="3" borderId="18" xfId="0" applyFont="1" applyFill="1" applyBorder="1" applyAlignment="1">
      <alignment horizontal="center" vertical="center"/>
    </xf>
    <xf numFmtId="17" fontId="41" fillId="3" borderId="18" xfId="0" applyNumberFormat="1" applyFont="1" applyFill="1" applyBorder="1" applyAlignment="1">
      <alignment horizontal="center" vertical="center"/>
    </xf>
    <xf numFmtId="10" fontId="41" fillId="3" borderId="18" xfId="0" applyNumberFormat="1" applyFont="1" applyFill="1" applyBorder="1" applyAlignment="1">
      <alignment horizontal="center" vertical="center"/>
    </xf>
    <xf numFmtId="0" fontId="41" fillId="3" borderId="18" xfId="0" applyFont="1" applyFill="1" applyBorder="1" applyAlignment="1">
      <alignment horizontal="center"/>
    </xf>
    <xf numFmtId="0" fontId="54" fillId="7" borderId="50" xfId="0" applyFont="1" applyFill="1" applyBorder="1" applyAlignment="1">
      <alignment horizontal="left" vertical="center" wrapText="1"/>
    </xf>
    <xf numFmtId="0" fontId="54" fillId="7" borderId="65" xfId="0" applyFont="1" applyFill="1" applyBorder="1" applyAlignment="1">
      <alignment horizontal="left" vertical="center" wrapText="1"/>
    </xf>
    <xf numFmtId="0" fontId="54" fillId="3" borderId="62" xfId="0" applyFont="1" applyFill="1" applyBorder="1" applyAlignment="1">
      <alignment horizontal="left" vertical="center" wrapText="1"/>
    </xf>
    <xf numFmtId="0" fontId="54" fillId="3" borderId="50" xfId="0" applyFont="1" applyFill="1" applyBorder="1" applyAlignment="1">
      <alignment horizontal="left" vertical="center" wrapText="1"/>
    </xf>
    <xf numFmtId="0" fontId="54" fillId="3" borderId="65" xfId="0" applyFont="1" applyFill="1" applyBorder="1" applyAlignment="1">
      <alignment horizontal="left" vertical="center" wrapText="1"/>
    </xf>
    <xf numFmtId="0" fontId="54" fillId="7" borderId="63" xfId="0" applyFont="1" applyFill="1" applyBorder="1" applyAlignment="1">
      <alignment horizontal="center" vertical="center"/>
    </xf>
    <xf numFmtId="0" fontId="54" fillId="7" borderId="64" xfId="0" applyFont="1" applyFill="1" applyBorder="1" applyAlignment="1">
      <alignment horizontal="center" vertical="center"/>
    </xf>
    <xf numFmtId="0" fontId="54" fillId="3" borderId="63" xfId="0" applyFont="1" applyFill="1" applyBorder="1" applyAlignment="1">
      <alignment horizontal="center" vertical="center"/>
    </xf>
    <xf numFmtId="0" fontId="54" fillId="3" borderId="64" xfId="0" applyFont="1" applyFill="1" applyBorder="1" applyAlignment="1">
      <alignment horizontal="center" vertical="center"/>
    </xf>
    <xf numFmtId="0" fontId="54" fillId="3" borderId="66" xfId="0" applyFont="1" applyFill="1" applyBorder="1" applyAlignment="1">
      <alignment horizontal="center" vertical="center"/>
    </xf>
    <xf numFmtId="172" fontId="14" fillId="5" borderId="47" xfId="3" applyNumberFormat="1" applyFont="1" applyFill="1" applyBorder="1" applyAlignment="1" applyProtection="1">
      <alignment horizontal="center" vertical="center"/>
      <protection locked="0"/>
    </xf>
    <xf numFmtId="0" fontId="50" fillId="5" borderId="21" xfId="3" applyFont="1" applyFill="1" applyBorder="1" applyAlignment="1" applyProtection="1">
      <alignment horizontal="center" vertical="center" wrapText="1"/>
    </xf>
    <xf numFmtId="0" fontId="50" fillId="5" borderId="24" xfId="3" applyFont="1" applyFill="1" applyBorder="1" applyAlignment="1" applyProtection="1">
      <alignment horizontal="center" vertical="center" wrapText="1"/>
    </xf>
    <xf numFmtId="173" fontId="51" fillId="5" borderId="23" xfId="2" applyNumberFormat="1" applyFont="1" applyFill="1" applyBorder="1" applyAlignment="1" applyProtection="1">
      <alignment horizontal="left" vertical="center" wrapText="1"/>
    </xf>
    <xf numFmtId="173" fontId="51" fillId="5" borderId="26" xfId="2" applyNumberFormat="1" applyFont="1" applyFill="1" applyBorder="1" applyAlignment="1" applyProtection="1">
      <alignment horizontal="left" vertical="center" wrapText="1"/>
    </xf>
    <xf numFmtId="165" fontId="48" fillId="13" borderId="45" xfId="3" applyNumberFormat="1" applyFont="1" applyFill="1" applyBorder="1" applyAlignment="1" applyProtection="1">
      <alignment horizontal="center" vertical="center"/>
      <protection locked="0"/>
    </xf>
    <xf numFmtId="165" fontId="48" fillId="13" borderId="55" xfId="3" applyNumberFormat="1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46" fillId="18" borderId="60" xfId="3" applyFont="1" applyFill="1" applyBorder="1" applyAlignment="1" applyProtection="1">
      <alignment horizontal="center" vertical="center"/>
      <protection locked="0"/>
    </xf>
    <xf numFmtId="0" fontId="46" fillId="18" borderId="57" xfId="3" applyFont="1" applyFill="1" applyBorder="1" applyAlignment="1" applyProtection="1">
      <alignment horizontal="center" vertical="center"/>
      <protection locked="0"/>
    </xf>
    <xf numFmtId="0" fontId="46" fillId="18" borderId="58" xfId="3" applyFont="1" applyFill="1" applyBorder="1" applyAlignment="1" applyProtection="1">
      <alignment horizontal="center" vertical="center"/>
      <protection locked="0"/>
    </xf>
    <xf numFmtId="0" fontId="48" fillId="13" borderId="47" xfId="3" applyFont="1" applyFill="1" applyBorder="1" applyAlignment="1" applyProtection="1">
      <alignment horizontal="center" vertical="center" wrapText="1"/>
    </xf>
    <xf numFmtId="0" fontId="48" fillId="13" borderId="61" xfId="3" applyFont="1" applyFill="1" applyBorder="1" applyAlignment="1" applyProtection="1">
      <alignment horizontal="center" vertical="center" wrapText="1"/>
    </xf>
    <xf numFmtId="0" fontId="13" fillId="13" borderId="47" xfId="3" applyFont="1" applyFill="1" applyBorder="1" applyAlignment="1" applyProtection="1">
      <alignment horizontal="center" vertical="center" wrapText="1"/>
    </xf>
    <xf numFmtId="0" fontId="13" fillId="13" borderId="61" xfId="3" applyFont="1" applyFill="1" applyBorder="1" applyAlignment="1" applyProtection="1">
      <alignment horizontal="center" vertical="center" wrapText="1"/>
    </xf>
    <xf numFmtId="165" fontId="47" fillId="15" borderId="45" xfId="3" applyNumberFormat="1" applyFont="1" applyFill="1" applyBorder="1" applyAlignment="1" applyProtection="1">
      <alignment horizontal="center" vertical="center"/>
      <protection locked="0"/>
    </xf>
    <xf numFmtId="165" fontId="49" fillId="14" borderId="45" xfId="3" applyNumberFormat="1" applyFont="1" applyFill="1" applyBorder="1" applyAlignment="1" applyProtection="1">
      <alignment horizontal="center" vertical="center"/>
      <protection locked="0"/>
    </xf>
    <xf numFmtId="165" fontId="49" fillId="14" borderId="55" xfId="3" applyNumberFormat="1" applyFont="1" applyFill="1" applyBorder="1" applyAlignment="1" applyProtection="1">
      <alignment horizontal="center" vertical="center"/>
      <protection locked="0"/>
    </xf>
    <xf numFmtId="0" fontId="28" fillId="6" borderId="21" xfId="6" applyFont="1" applyFill="1" applyBorder="1" applyAlignment="1">
      <alignment horizontal="center" vertical="center"/>
    </xf>
    <xf numFmtId="0" fontId="28" fillId="6" borderId="22" xfId="6" applyFont="1" applyFill="1" applyBorder="1" applyAlignment="1">
      <alignment horizontal="center" vertical="center"/>
    </xf>
    <xf numFmtId="0" fontId="28" fillId="6" borderId="23" xfId="6" applyFont="1" applyFill="1" applyBorder="1" applyAlignment="1">
      <alignment horizontal="center" vertical="center"/>
    </xf>
    <xf numFmtId="0" fontId="28" fillId="6" borderId="24" xfId="6" applyFont="1" applyFill="1" applyBorder="1" applyAlignment="1">
      <alignment horizontal="center" vertical="center"/>
    </xf>
    <xf numFmtId="0" fontId="28" fillId="6" borderId="25" xfId="6" applyFont="1" applyFill="1" applyBorder="1" applyAlignment="1">
      <alignment horizontal="center" vertical="center"/>
    </xf>
    <xf numFmtId="0" fontId="28" fillId="6" borderId="26" xfId="6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44" fontId="38" fillId="0" borderId="18" xfId="2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44" fontId="38" fillId="0" borderId="18" xfId="2" applyFont="1" applyBorder="1" applyAlignment="1">
      <alignment horizontal="center" vertical="center" wrapText="1"/>
    </xf>
    <xf numFmtId="0" fontId="39" fillId="0" borderId="39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38" fillId="0" borderId="3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 wrapText="1"/>
    </xf>
    <xf numFmtId="0" fontId="18" fillId="2" borderId="0" xfId="5" applyFont="1" applyFill="1" applyBorder="1" applyAlignment="1" applyProtection="1">
      <alignment horizontal="center" vertical="center"/>
    </xf>
    <xf numFmtId="0" fontId="6" fillId="2" borderId="0" xfId="4" applyFont="1" applyFill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 wrapText="1"/>
    </xf>
    <xf numFmtId="0" fontId="11" fillId="0" borderId="10" xfId="4" applyFont="1" applyBorder="1" applyAlignment="1">
      <alignment horizontal="center" vertical="center" wrapText="1"/>
    </xf>
    <xf numFmtId="0" fontId="10" fillId="0" borderId="4" xfId="5" applyFont="1" applyBorder="1" applyAlignment="1" applyProtection="1">
      <alignment horizontal="center" vertical="center"/>
    </xf>
    <xf numFmtId="0" fontId="10" fillId="0" borderId="10" xfId="5" applyFont="1" applyFill="1" applyBorder="1" applyAlignment="1" applyProtection="1">
      <alignment horizontal="center" vertical="center"/>
    </xf>
    <xf numFmtId="0" fontId="14" fillId="2" borderId="14" xfId="4" applyFont="1" applyFill="1" applyBorder="1" applyAlignment="1">
      <alignment horizontal="center" vertical="center" wrapText="1"/>
    </xf>
  </cellXfs>
  <cellStyles count="9">
    <cellStyle name="Moeda" xfId="2" builtinId="4"/>
    <cellStyle name="Normal" xfId="0" builtinId="0"/>
    <cellStyle name="Normal 3" xfId="4"/>
    <cellStyle name="Normal 3 3" xfId="6"/>
    <cellStyle name="Porcentagem" xfId="8" builtinId="5"/>
    <cellStyle name="Separador de milhares 2 3" xfId="7"/>
    <cellStyle name="Texto Explicativo" xfId="3" builtinId="53"/>
    <cellStyle name="Texto Explicativo 2" xfId="5"/>
    <cellStyle name="Vírgula" xfId="1" builtinId="3"/>
  </cellStyles>
  <dxfs count="23">
    <dxf>
      <font>
        <color rgb="FF000000"/>
        <name val="Calibri"/>
      </font>
      <numFmt numFmtId="0" formatCode="General"/>
      <fill>
        <patternFill>
          <bgColor rgb="FFFFFFFF"/>
        </patternFill>
      </fill>
    </dxf>
    <dxf>
      <font>
        <color rgb="FF000000"/>
        <name val="Calibri"/>
      </font>
      <numFmt numFmtId="0" formatCode="General"/>
      <fill>
        <patternFill>
          <bgColor rgb="FFFFFFFF"/>
        </patternFill>
      </fill>
    </dxf>
    <dxf>
      <font>
        <color rgb="FF000000"/>
        <name val="Calibri"/>
      </font>
      <numFmt numFmtId="0" formatCode="General"/>
      <fill>
        <patternFill>
          <bgColor rgb="FFFFFFFF"/>
        </patternFill>
      </fill>
    </dxf>
    <dxf>
      <fill>
        <patternFill>
          <bgColor theme="9" tint="0.39994506668294322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Curva</a:t>
            </a:r>
            <a:r>
              <a:rPr lang="pt-BR" baseline="0"/>
              <a:t> S de recursos acumulados</a:t>
            </a:r>
            <a:endParaRPr lang="pt-B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CRONOGRAMA!$D$6:$O$6</c:f>
              <c:strCache>
                <c:ptCount val="12"/>
                <c:pt idx="0">
                  <c:v>1º MÊS</c:v>
                </c:pt>
                <c:pt idx="1">
                  <c:v>2º MÊS</c:v>
                </c:pt>
                <c:pt idx="2">
                  <c:v>3º MÊS</c:v>
                </c:pt>
                <c:pt idx="3">
                  <c:v>4º MÊS</c:v>
                </c:pt>
                <c:pt idx="4">
                  <c:v>5º MÊS</c:v>
                </c:pt>
                <c:pt idx="5">
                  <c:v>6º MÊS</c:v>
                </c:pt>
                <c:pt idx="6">
                  <c:v>7º MÊS</c:v>
                </c:pt>
                <c:pt idx="7">
                  <c:v>8º MÊS</c:v>
                </c:pt>
                <c:pt idx="8">
                  <c:v>9º MÊS</c:v>
                </c:pt>
                <c:pt idx="9">
                  <c:v>10º MÊS</c:v>
                </c:pt>
                <c:pt idx="10">
                  <c:v>11º MÊS</c:v>
                </c:pt>
                <c:pt idx="11">
                  <c:v>12º MÊS</c:v>
                </c:pt>
              </c:strCache>
            </c:strRef>
          </c:xVal>
          <c:yVal>
            <c:numRef>
              <c:f>CRONOGRAMA!$D$47:$O$47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C07-444F-9794-C2BD7CADB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59522464"/>
        <c:axId val="-1459519744"/>
      </c:scatterChart>
      <c:valAx>
        <c:axId val="-1459522464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459519744"/>
        <c:crosses val="autoZero"/>
        <c:crossBetween val="midCat"/>
        <c:majorUnit val="1"/>
      </c:valAx>
      <c:valAx>
        <c:axId val="-145951974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459522464"/>
        <c:crossesAt val="1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247651</xdr:colOff>
      <xdr:row>1</xdr:row>
      <xdr:rowOff>28575</xdr:rowOff>
    </xdr:from>
    <xdr:to>
      <xdr:col>2</xdr:col>
      <xdr:colOff>723901</xdr:colOff>
      <xdr:row>9</xdr:row>
      <xdr:rowOff>170419</xdr:rowOff>
    </xdr:to>
    <xdr:pic>
      <xdr:nvPicPr>
        <xdr:cNvPr id="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71"/>
        <a:stretch>
          <a:fillRect/>
        </a:stretch>
      </xdr:blipFill>
      <xdr:spPr bwMode="auto">
        <a:xfrm>
          <a:off x="247651" y="219075"/>
          <a:ext cx="1905000" cy="1665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730249</xdr:colOff>
      <xdr:row>49</xdr:row>
      <xdr:rowOff>10955</xdr:rowOff>
    </xdr:from>
    <xdr:to>
      <xdr:col>8</xdr:col>
      <xdr:colOff>514568</xdr:colOff>
      <xdr:row>66</xdr:row>
      <xdr:rowOff>43793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295603</xdr:colOff>
      <xdr:row>0</xdr:row>
      <xdr:rowOff>43793</xdr:rowOff>
    </xdr:from>
    <xdr:to>
      <xdr:col>1</xdr:col>
      <xdr:colOff>2195000</xdr:colOff>
      <xdr:row>4</xdr:row>
      <xdr:rowOff>273707</xdr:rowOff>
    </xdr:to>
    <xdr:pic>
      <xdr:nvPicPr>
        <xdr:cNvPr id="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71"/>
        <a:stretch>
          <a:fillRect/>
        </a:stretch>
      </xdr:blipFill>
      <xdr:spPr bwMode="auto">
        <a:xfrm>
          <a:off x="1248103" y="43793"/>
          <a:ext cx="1899397" cy="158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176719</xdr:colOff>
      <xdr:row>22</xdr:row>
      <xdr:rowOff>80623</xdr:rowOff>
    </xdr:from>
    <xdr:to>
      <xdr:col>4</xdr:col>
      <xdr:colOff>391872</xdr:colOff>
      <xdr:row>29</xdr:row>
      <xdr:rowOff>179983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57744" y="4281148"/>
          <a:ext cx="3606053" cy="14328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495300</xdr:colOff>
      <xdr:row>6</xdr:row>
      <xdr:rowOff>190500</xdr:rowOff>
    </xdr:from>
    <xdr:to>
      <xdr:col>16</xdr:col>
      <xdr:colOff>465967</xdr:colOff>
      <xdr:row>12</xdr:row>
      <xdr:rowOff>28392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00" y="1333500"/>
          <a:ext cx="6066667" cy="1466667"/>
        </a:xfrm>
        <a:prstGeom prst="rect">
          <a:avLst/>
        </a:prstGeom>
      </xdr:spPr>
    </xdr:pic>
    <xdr:clientData/>
  </xdr:twoCellAnchor>
  <xdr:twoCellAnchor editAs="oneCell">
    <xdr:from>
      <xdr:col>6</xdr:col>
      <xdr:colOff>523875</xdr:colOff>
      <xdr:row>12</xdr:row>
      <xdr:rowOff>0</xdr:rowOff>
    </xdr:from>
    <xdr:to>
      <xdr:col>16</xdr:col>
      <xdr:colOff>408827</xdr:colOff>
      <xdr:row>14</xdr:row>
      <xdr:rowOff>133271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43575" y="2771775"/>
          <a:ext cx="5980952" cy="6285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427962</xdr:colOff>
      <xdr:row>35</xdr:row>
      <xdr:rowOff>84881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304762" cy="67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45"/>
  <sheetViews>
    <sheetView topLeftCell="C7" zoomScaleNormal="100" workbookViewId="0">
      <selection activeCell="N22" sqref="N22"/>
    </sheetView>
  </sheetViews>
  <sheetFormatPr defaultRowHeight="15" x14ac:dyDescent="0.25"/>
  <cols>
    <col min="2" max="2" width="12.28515625" bestFit="1" customWidth="1"/>
    <col min="3" max="3" width="14.5703125" customWidth="1"/>
    <col min="4" max="4" width="49.140625" customWidth="1"/>
    <col min="5" max="5" width="10.7109375" bestFit="1" customWidth="1"/>
    <col min="7" max="7" width="14" customWidth="1"/>
    <col min="8" max="8" width="16.140625" customWidth="1"/>
    <col min="9" max="9" width="14.140625" customWidth="1"/>
    <col min="10" max="11" width="14.140625" hidden="1" customWidth="1"/>
    <col min="12" max="12" width="16.7109375" customWidth="1"/>
    <col min="13" max="13" width="21.7109375" bestFit="1" customWidth="1"/>
    <col min="14" max="14" width="43.42578125" bestFit="1" customWidth="1"/>
    <col min="15" max="15" width="4.7109375" bestFit="1" customWidth="1"/>
    <col min="16" max="16" width="3" bestFit="1" customWidth="1"/>
    <col min="17" max="17" width="10.85546875" customWidth="1"/>
    <col min="18" max="18" width="11.28515625" customWidth="1"/>
    <col min="19" max="19" width="13.140625" customWidth="1"/>
  </cols>
  <sheetData>
    <row r="1" spans="1:19" ht="15.75" thickBot="1" x14ac:dyDescent="0.3">
      <c r="A1" s="81"/>
      <c r="B1" s="81"/>
      <c r="C1" s="81"/>
      <c r="D1" s="90"/>
      <c r="E1" s="81"/>
      <c r="F1" s="81"/>
      <c r="G1" s="81"/>
      <c r="H1" s="81"/>
      <c r="I1" s="81"/>
      <c r="J1" s="81"/>
      <c r="K1" s="81"/>
      <c r="L1" s="81"/>
      <c r="M1" s="81"/>
    </row>
    <row r="2" spans="1:19" x14ac:dyDescent="0.25">
      <c r="A2" s="230"/>
      <c r="B2" s="231"/>
      <c r="C2" s="232"/>
      <c r="D2" s="196" t="s">
        <v>49</v>
      </c>
      <c r="E2" s="197"/>
      <c r="F2" s="197"/>
      <c r="G2" s="197"/>
      <c r="H2" s="197"/>
      <c r="I2" s="197"/>
      <c r="J2" s="197"/>
      <c r="K2" s="197"/>
      <c r="L2" s="198"/>
      <c r="M2" s="81"/>
    </row>
    <row r="3" spans="1:19" x14ac:dyDescent="0.25">
      <c r="A3" s="233"/>
      <c r="B3" s="234"/>
      <c r="C3" s="235"/>
      <c r="D3" s="86" t="s">
        <v>50</v>
      </c>
      <c r="E3" s="85"/>
      <c r="F3" s="85"/>
      <c r="G3" s="85"/>
      <c r="H3" s="85"/>
      <c r="I3" s="85"/>
      <c r="J3" s="85"/>
      <c r="K3" s="85"/>
      <c r="L3" s="172"/>
      <c r="M3" s="81"/>
    </row>
    <row r="4" spans="1:19" x14ac:dyDescent="0.25">
      <c r="A4" s="233"/>
      <c r="B4" s="234"/>
      <c r="C4" s="235"/>
      <c r="D4" s="86" t="s">
        <v>54</v>
      </c>
      <c r="E4" s="85"/>
      <c r="F4" s="85"/>
      <c r="G4" s="85"/>
      <c r="H4" s="85"/>
      <c r="I4" s="85"/>
      <c r="J4" s="85"/>
      <c r="K4" s="85"/>
      <c r="L4" s="172"/>
      <c r="M4" s="81"/>
    </row>
    <row r="5" spans="1:19" x14ac:dyDescent="0.25">
      <c r="A5" s="233"/>
      <c r="B5" s="234"/>
      <c r="C5" s="235"/>
      <c r="D5" s="86" t="s">
        <v>51</v>
      </c>
      <c r="E5" s="85"/>
      <c r="F5" s="85"/>
      <c r="G5" s="85"/>
      <c r="H5" s="85"/>
      <c r="I5" s="85"/>
      <c r="J5" s="85"/>
      <c r="K5" s="85"/>
      <c r="L5" s="172"/>
      <c r="M5" s="81"/>
      <c r="N5" s="82"/>
    </row>
    <row r="6" spans="1:19" x14ac:dyDescent="0.25">
      <c r="A6" s="233"/>
      <c r="B6" s="234"/>
      <c r="C6" s="235"/>
      <c r="D6" s="88"/>
      <c r="E6" s="89"/>
      <c r="F6" s="89"/>
      <c r="G6" s="89"/>
      <c r="H6" s="89"/>
      <c r="I6" s="89"/>
      <c r="J6" s="89"/>
      <c r="K6" s="89"/>
      <c r="L6" s="199"/>
      <c r="M6" s="81"/>
    </row>
    <row r="7" spans="1:19" x14ac:dyDescent="0.25">
      <c r="A7" s="233"/>
      <c r="B7" s="234"/>
      <c r="C7" s="235"/>
      <c r="D7" s="166" t="s">
        <v>52</v>
      </c>
      <c r="E7" s="243" t="s">
        <v>53</v>
      </c>
      <c r="F7" s="243"/>
      <c r="G7" s="246" t="s">
        <v>2</v>
      </c>
      <c r="H7" s="246"/>
      <c r="I7" s="246"/>
      <c r="J7" s="152"/>
      <c r="K7" s="152"/>
      <c r="L7" s="200"/>
      <c r="M7" s="81"/>
    </row>
    <row r="8" spans="1:19" x14ac:dyDescent="0.25">
      <c r="A8" s="233"/>
      <c r="B8" s="234"/>
      <c r="C8" s="235"/>
      <c r="D8" s="87">
        <v>45386</v>
      </c>
      <c r="E8" s="244">
        <v>45323</v>
      </c>
      <c r="F8" s="244"/>
      <c r="G8" s="245">
        <f>BDI!D19</f>
        <v>0.23</v>
      </c>
      <c r="H8" s="245"/>
      <c r="I8" s="245"/>
      <c r="J8" s="153"/>
      <c r="K8" s="153"/>
      <c r="L8" s="163"/>
      <c r="M8" s="81"/>
    </row>
    <row r="9" spans="1:19" ht="15" customHeight="1" x14ac:dyDescent="0.25">
      <c r="A9" s="233"/>
      <c r="B9" s="234"/>
      <c r="C9" s="235"/>
      <c r="D9" s="83"/>
      <c r="E9" s="90"/>
      <c r="F9" s="90"/>
      <c r="G9" s="90"/>
      <c r="H9" s="90"/>
      <c r="I9" s="90"/>
      <c r="J9" s="90"/>
      <c r="K9" s="90"/>
      <c r="L9" s="200"/>
      <c r="M9" s="81"/>
    </row>
    <row r="10" spans="1:19" x14ac:dyDescent="0.25">
      <c r="A10" s="236"/>
      <c r="B10" s="237"/>
      <c r="C10" s="238"/>
      <c r="D10" s="84"/>
      <c r="E10" s="91"/>
      <c r="F10" s="91"/>
      <c r="G10" s="239" t="s">
        <v>69</v>
      </c>
      <c r="H10" s="239"/>
      <c r="I10" s="240" t="s">
        <v>70</v>
      </c>
      <c r="J10" s="241" t="s">
        <v>74</v>
      </c>
      <c r="K10" s="241" t="s">
        <v>75</v>
      </c>
      <c r="L10" s="200"/>
      <c r="M10" s="81"/>
    </row>
    <row r="11" spans="1:19" ht="27.75" customHeight="1" x14ac:dyDescent="0.25">
      <c r="A11" s="201" t="s">
        <v>5</v>
      </c>
      <c r="B11" s="165" t="s">
        <v>63</v>
      </c>
      <c r="C11" s="165" t="s">
        <v>35</v>
      </c>
      <c r="D11" s="165" t="s">
        <v>0</v>
      </c>
      <c r="E11" s="165" t="s">
        <v>1</v>
      </c>
      <c r="F11" s="165" t="s">
        <v>4</v>
      </c>
      <c r="G11" s="165" t="s">
        <v>58</v>
      </c>
      <c r="H11" s="165" t="s">
        <v>57</v>
      </c>
      <c r="I11" s="240"/>
      <c r="J11" s="242"/>
      <c r="K11" s="242"/>
      <c r="L11" s="202" t="s">
        <v>86</v>
      </c>
      <c r="M11" s="81"/>
    </row>
    <row r="12" spans="1:19" ht="24.95" customHeight="1" x14ac:dyDescent="0.25">
      <c r="A12" s="203">
        <v>1</v>
      </c>
      <c r="B12" s="131"/>
      <c r="C12" s="131"/>
      <c r="D12" s="132" t="s">
        <v>118</v>
      </c>
      <c r="E12" s="131"/>
      <c r="F12" s="131"/>
      <c r="G12" s="131"/>
      <c r="H12" s="131"/>
      <c r="I12" s="133"/>
      <c r="J12" s="134"/>
      <c r="K12" s="134"/>
      <c r="L12" s="204">
        <f>SUM(L13:L13)</f>
        <v>0</v>
      </c>
      <c r="M12" s="81"/>
    </row>
    <row r="13" spans="1:19" ht="24.95" customHeight="1" x14ac:dyDescent="0.25">
      <c r="A13" s="205" t="s">
        <v>119</v>
      </c>
      <c r="B13" s="166" t="str">
        <f>COMPOSIÇÕES!A59</f>
        <v>COMP.025</v>
      </c>
      <c r="C13" s="166" t="s">
        <v>68</v>
      </c>
      <c r="D13" s="108" t="str">
        <f>COMPOSIÇÕES!B59</f>
        <v>CÓPIAS E PLOTAGENS DE PROJETOS</v>
      </c>
      <c r="E13" s="166" t="str">
        <f>COMPOSIÇÕES!D59</f>
        <v>UNID</v>
      </c>
      <c r="F13" s="166">
        <v>1</v>
      </c>
      <c r="G13" s="109"/>
      <c r="H13" s="109"/>
      <c r="I13" s="110">
        <f t="shared" ref="I13" si="0">ROUND((G13+H13)*(1+G$8),2)</f>
        <v>0</v>
      </c>
      <c r="J13" s="110">
        <f t="shared" ref="J13" si="1">ROUND(F13*G13*(1+G$8),2)</f>
        <v>0</v>
      </c>
      <c r="K13" s="110">
        <f t="shared" ref="K13" si="2">ROUND(F13*H13*(1+G$8),2)</f>
        <v>0</v>
      </c>
      <c r="L13" s="206">
        <f t="shared" ref="L13" si="3">ROUND(F13*I13,2)</f>
        <v>0</v>
      </c>
      <c r="M13" s="81"/>
    </row>
    <row r="14" spans="1:19" x14ac:dyDescent="0.25">
      <c r="A14" s="207"/>
      <c r="B14" s="124"/>
      <c r="C14" s="124"/>
      <c r="D14" s="125"/>
      <c r="E14" s="124"/>
      <c r="F14" s="124"/>
      <c r="G14" s="126"/>
      <c r="H14" s="126"/>
      <c r="I14" s="127"/>
      <c r="J14" s="127"/>
      <c r="K14" s="127"/>
      <c r="L14" s="208"/>
      <c r="M14" s="81"/>
    </row>
    <row r="15" spans="1:19" ht="24.95" customHeight="1" x14ac:dyDescent="0.25">
      <c r="A15" s="209">
        <v>2</v>
      </c>
      <c r="B15" s="135"/>
      <c r="C15" s="135"/>
      <c r="D15" s="136" t="s">
        <v>200</v>
      </c>
      <c r="E15" s="135"/>
      <c r="F15" s="135"/>
      <c r="G15" s="135"/>
      <c r="H15" s="135"/>
      <c r="I15" s="134"/>
      <c r="J15" s="134"/>
      <c r="K15" s="134"/>
      <c r="L15" s="210">
        <f>SUM(L16:L19)</f>
        <v>0</v>
      </c>
      <c r="M15" s="150"/>
      <c r="N15" s="50" t="s">
        <v>198</v>
      </c>
      <c r="O15" s="51" t="s">
        <v>3</v>
      </c>
      <c r="P15" s="51">
        <v>12</v>
      </c>
      <c r="Q15" s="52">
        <f>COMPOSIÇÕES!O67</f>
        <v>3737.1500576036883</v>
      </c>
      <c r="R15" s="52">
        <f>Q15*(1+G$8)</f>
        <v>4596.6945708525363</v>
      </c>
      <c r="S15" s="52">
        <f>P15*R15</f>
        <v>55160.334850230436</v>
      </c>
    </row>
    <row r="16" spans="1:19" ht="35.1" customHeight="1" x14ac:dyDescent="0.25">
      <c r="A16" s="205" t="s">
        <v>135</v>
      </c>
      <c r="B16" s="166" t="str">
        <f>COMPOSIÇÕES!A4</f>
        <v>COMP.001</v>
      </c>
      <c r="C16" s="166" t="s">
        <v>67</v>
      </c>
      <c r="D16" s="108" t="s">
        <v>95</v>
      </c>
      <c r="E16" s="166" t="str">
        <f>COMPOSIÇÕES!D4</f>
        <v>UNID</v>
      </c>
      <c r="F16" s="166">
        <v>1</v>
      </c>
      <c r="G16" s="109"/>
      <c r="H16" s="109"/>
      <c r="I16" s="110">
        <f>ROUND((G16+H16)*(1+G$8),2)</f>
        <v>0</v>
      </c>
      <c r="J16" s="110">
        <f>ROUND(F16*G16*(1+G$8),2)</f>
        <v>0</v>
      </c>
      <c r="K16" s="110">
        <f>ROUND(F16*H16*(1+G$8),2)</f>
        <v>0</v>
      </c>
      <c r="L16" s="206">
        <f>ROUND(F16*I16,2)</f>
        <v>0</v>
      </c>
      <c r="M16" s="150"/>
      <c r="N16" s="50"/>
      <c r="O16" s="51"/>
      <c r="P16" s="51"/>
      <c r="Q16" s="52"/>
      <c r="R16" s="52"/>
      <c r="S16" s="52"/>
    </row>
    <row r="17" spans="1:19" ht="35.1" customHeight="1" x14ac:dyDescent="0.25">
      <c r="A17" s="205" t="s">
        <v>136</v>
      </c>
      <c r="B17" s="166" t="str">
        <f>COMPOSIÇÕES!A7</f>
        <v>COMP.003</v>
      </c>
      <c r="C17" s="166" t="s">
        <v>68</v>
      </c>
      <c r="D17" s="108" t="str">
        <f>COMPOSIÇÕES!B7</f>
        <v>ELABORAÇÃO DE RELATÓRIOS SEMANAIS DE SUPERVISÃO DA OBRA - ENGENHEIRO CIVIL SÊNIOR</v>
      </c>
      <c r="E17" s="166" t="str">
        <f>COMPOSIÇÕES!D7</f>
        <v>UNID</v>
      </c>
      <c r="F17" s="111">
        <f>ROUND(P15*COMPOSIÇÕES!F67,0)</f>
        <v>52</v>
      </c>
      <c r="G17" s="109"/>
      <c r="H17" s="109"/>
      <c r="I17" s="110">
        <f>ROUND((G17+H17)*(1+G$8),2)</f>
        <v>0</v>
      </c>
      <c r="J17" s="110">
        <f>ROUND(F17*G17*(1+G$8),2)</f>
        <v>0</v>
      </c>
      <c r="K17" s="110">
        <f>ROUND(F17*H17*(1+G$8),2)</f>
        <v>0</v>
      </c>
      <c r="L17" s="211">
        <f>F17*I17</f>
        <v>0</v>
      </c>
      <c r="M17" s="130"/>
      <c r="N17" s="50"/>
      <c r="O17" s="151"/>
      <c r="P17" s="151"/>
      <c r="Q17" s="52"/>
      <c r="R17" s="52"/>
      <c r="S17" s="52"/>
    </row>
    <row r="18" spans="1:19" ht="35.1" customHeight="1" x14ac:dyDescent="0.25">
      <c r="A18" s="205" t="s">
        <v>201</v>
      </c>
      <c r="B18" s="166" t="str">
        <f>COMPOSIÇÕES!A10</f>
        <v>COMP.005</v>
      </c>
      <c r="C18" s="166" t="s">
        <v>68</v>
      </c>
      <c r="D18" s="108" t="str">
        <f>COMPOSIÇÕES!B10</f>
        <v>SUPERVISÃO E PREENCHIMENTO DO DIÁRIO DE OBRAS</v>
      </c>
      <c r="E18" s="166" t="str">
        <f>COMPOSIÇÕES!D10</f>
        <v>MÊS</v>
      </c>
      <c r="F18" s="166">
        <v>12</v>
      </c>
      <c r="G18" s="109"/>
      <c r="H18" s="109"/>
      <c r="I18" s="110">
        <f>ROUND((G18+H18)*(1+G$8),2)</f>
        <v>0</v>
      </c>
      <c r="J18" s="110">
        <f>ROUND(F18*G18*(1+G$8),2)</f>
        <v>0</v>
      </c>
      <c r="K18" s="110">
        <f>ROUND(F18*H18*(1+G$8),2)</f>
        <v>0</v>
      </c>
      <c r="L18" s="211">
        <f>F18*I18</f>
        <v>0</v>
      </c>
      <c r="M18" s="130"/>
    </row>
    <row r="19" spans="1:19" ht="35.1" customHeight="1" x14ac:dyDescent="0.25">
      <c r="A19" s="205" t="s">
        <v>196</v>
      </c>
      <c r="B19" s="120" t="str">
        <f>COMPOSIÇÕES!A52</f>
        <v>COMP. 017</v>
      </c>
      <c r="C19" s="120" t="s">
        <v>68</v>
      </c>
      <c r="D19" s="121" t="str">
        <f>COMPOSIÇÕES!B52</f>
        <v>RELATÓRIO MENSAL DE AS BUILT E CONFERÊNCIA/AJUSTES DE PROJETO AS BUILT</v>
      </c>
      <c r="E19" s="120" t="str">
        <f>COMPOSIÇÕES!D52</f>
        <v>MÊS</v>
      </c>
      <c r="F19" s="170">
        <v>12</v>
      </c>
      <c r="G19" s="122"/>
      <c r="H19" s="122"/>
      <c r="I19" s="123">
        <f>ROUND((G19+H19)*(1+G$8),2)</f>
        <v>0</v>
      </c>
      <c r="J19" s="123">
        <f>ROUND(F19*G19*(1+G$8),2)</f>
        <v>0</v>
      </c>
      <c r="K19" s="123">
        <f>ROUND(F19*H19*(1+G$8),2)</f>
        <v>0</v>
      </c>
      <c r="L19" s="212">
        <f>F19*I19</f>
        <v>0</v>
      </c>
      <c r="M19" s="129"/>
      <c r="N19" s="105"/>
      <c r="O19" s="106"/>
      <c r="P19" s="106"/>
      <c r="Q19" s="107"/>
      <c r="R19" s="107"/>
      <c r="S19" s="107"/>
    </row>
    <row r="20" spans="1:19" x14ac:dyDescent="0.25">
      <c r="A20" s="207"/>
      <c r="B20" s="124"/>
      <c r="C20" s="124"/>
      <c r="D20" s="125"/>
      <c r="E20" s="124"/>
      <c r="F20" s="128"/>
      <c r="G20" s="126"/>
      <c r="H20" s="126"/>
      <c r="I20" s="127"/>
      <c r="J20" s="127"/>
      <c r="K20" s="127"/>
      <c r="L20" s="213"/>
      <c r="M20" s="119"/>
      <c r="N20" s="105"/>
      <c r="O20" s="106"/>
      <c r="P20" s="106"/>
      <c r="Q20" s="107"/>
      <c r="R20" s="107"/>
      <c r="S20" s="107"/>
    </row>
    <row r="21" spans="1:19" ht="24.95" customHeight="1" x14ac:dyDescent="0.25">
      <c r="A21" s="209">
        <v>3</v>
      </c>
      <c r="B21" s="135"/>
      <c r="C21" s="135"/>
      <c r="D21" s="136" t="s">
        <v>132</v>
      </c>
      <c r="E21" s="135"/>
      <c r="F21" s="135"/>
      <c r="G21" s="135"/>
      <c r="H21" s="135"/>
      <c r="I21" s="134"/>
      <c r="J21" s="134"/>
      <c r="K21" s="134"/>
      <c r="L21" s="210">
        <f>SUM(L22:L26)</f>
        <v>0</v>
      </c>
      <c r="M21" s="119"/>
      <c r="N21" s="105"/>
      <c r="O21" s="106"/>
      <c r="P21" s="106"/>
      <c r="Q21" s="107"/>
      <c r="R21" s="107"/>
      <c r="S21" s="107"/>
    </row>
    <row r="22" spans="1:19" ht="45" customHeight="1" x14ac:dyDescent="0.25">
      <c r="A22" s="205" t="s">
        <v>137</v>
      </c>
      <c r="B22" s="166" t="str">
        <f>COMPOSIÇÕES!A22</f>
        <v>COMP.009</v>
      </c>
      <c r="C22" s="166" t="s">
        <v>68</v>
      </c>
      <c r="D22" s="108" t="str">
        <f>COMPOSIÇÕES!B22</f>
        <v>TESTE HIDROSTÁTICO DE PRESSÃO EM TODAS AS TUBULAÇÕES PREDIAIS DE ÁGUA FRIA E RESERVATÓRIOS - COM EMISSÃO DE RELATÓRIO</v>
      </c>
      <c r="E22" s="166" t="str">
        <f>COMPOSIÇÕES!D22</f>
        <v>UNID</v>
      </c>
      <c r="F22" s="166">
        <v>1</v>
      </c>
      <c r="G22" s="109"/>
      <c r="H22" s="109"/>
      <c r="I22" s="110">
        <f>ROUND((G22+H22)*(1+G$8),2)</f>
        <v>0</v>
      </c>
      <c r="J22" s="110">
        <f>ROUND(F22*G22*(1+G$8),2)</f>
        <v>0</v>
      </c>
      <c r="K22" s="110">
        <f>ROUND(F22*H22*(1+G$8),2)</f>
        <v>0</v>
      </c>
      <c r="L22" s="211">
        <f>F22*I22</f>
        <v>0</v>
      </c>
      <c r="M22" s="129"/>
    </row>
    <row r="23" spans="1:19" ht="45" customHeight="1" x14ac:dyDescent="0.25">
      <c r="A23" s="205" t="s">
        <v>138</v>
      </c>
      <c r="B23" s="166" t="str">
        <f>COMPOSIÇÕES!A26</f>
        <v>COMP.010</v>
      </c>
      <c r="C23" s="166" t="s">
        <v>68</v>
      </c>
      <c r="D23" s="108" t="str">
        <f>COMPOSIÇÕES!B26</f>
        <v>TESTE DE FUNCIONAMENTO DE TODOS OS APARELHOS SANITÁRIOS (METAIS E LOUÇAS) - COM EMISSÃO DE RELATÓRIO</v>
      </c>
      <c r="E23" s="166" t="str">
        <f>COMPOSIÇÕES!D26</f>
        <v>UNID</v>
      </c>
      <c r="F23" s="166">
        <v>1</v>
      </c>
      <c r="G23" s="109"/>
      <c r="H23" s="109"/>
      <c r="I23" s="110">
        <f>ROUND((G23+H23)*(1+G$8),2)</f>
        <v>0</v>
      </c>
      <c r="J23" s="110">
        <f>ROUND(F23*G23*(1+G$8),2)</f>
        <v>0</v>
      </c>
      <c r="K23" s="110">
        <f>ROUND(F23*H23*(1+G$8),2)</f>
        <v>0</v>
      </c>
      <c r="L23" s="211">
        <f t="shared" ref="L23" si="4">F23*I23</f>
        <v>0</v>
      </c>
      <c r="M23" s="119"/>
      <c r="N23" s="105"/>
      <c r="O23" s="106"/>
      <c r="P23" s="106"/>
      <c r="Q23" s="107"/>
      <c r="R23" s="107"/>
      <c r="S23" s="107"/>
    </row>
    <row r="24" spans="1:19" ht="39.950000000000003" customHeight="1" x14ac:dyDescent="0.25">
      <c r="A24" s="205" t="s">
        <v>139</v>
      </c>
      <c r="B24" s="166" t="str">
        <f>COMPOSIÇÕES!A30</f>
        <v>COMP.011</v>
      </c>
      <c r="C24" s="166" t="s">
        <v>68</v>
      </c>
      <c r="D24" s="108" t="str">
        <f>COMPOSIÇÕES!B30</f>
        <v>TESTE DE FUNCIONAMENTO DE TODOS OS APARELHOS DE CLIMATIZAÇÃO E RENOVAÇÃO DE AR - COM EMISSÃO DE RELATÓRIO</v>
      </c>
      <c r="E24" s="166" t="str">
        <f>COMPOSIÇÕES!D30</f>
        <v>UNID</v>
      </c>
      <c r="F24" s="166">
        <v>1</v>
      </c>
      <c r="G24" s="109"/>
      <c r="H24" s="109"/>
      <c r="I24" s="110">
        <f>ROUND((G24+H24)*(1+G$8),2)</f>
        <v>0</v>
      </c>
      <c r="J24" s="110">
        <f>ROUND(F24*G24*(1+G$8),2)</f>
        <v>0</v>
      </c>
      <c r="K24" s="110">
        <f>ROUND(F24*H24*(1+G$8),2)</f>
        <v>0</v>
      </c>
      <c r="L24" s="211">
        <f t="shared" ref="L24" si="5">F24*I24</f>
        <v>0</v>
      </c>
      <c r="M24" s="119"/>
      <c r="N24" s="105"/>
      <c r="O24" s="106"/>
      <c r="P24" s="106"/>
      <c r="Q24" s="107"/>
      <c r="R24" s="107"/>
      <c r="S24" s="107"/>
    </row>
    <row r="25" spans="1:19" ht="35.1" customHeight="1" x14ac:dyDescent="0.25">
      <c r="A25" s="205" t="s">
        <v>140</v>
      </c>
      <c r="B25" s="166" t="str">
        <f>COMPOSIÇÕES!A34</f>
        <v>COMP.012</v>
      </c>
      <c r="C25" s="166" t="s">
        <v>68</v>
      </c>
      <c r="D25" s="108" t="str">
        <f>COMPOSIÇÕES!B34</f>
        <v>ENSAIO DE TERMOGRAFIA EM QUADROS ELÉTRICOS - COM EMISSÃO DE RELATÓRIO</v>
      </c>
      <c r="E25" s="166" t="str">
        <f>COMPOSIÇÕES!D34</f>
        <v>UNID</v>
      </c>
      <c r="F25" s="166">
        <v>4</v>
      </c>
      <c r="G25" s="109"/>
      <c r="H25" s="109"/>
      <c r="I25" s="110">
        <f>ROUND((G25+H25)*(1+G$8),2)</f>
        <v>0</v>
      </c>
      <c r="J25" s="110">
        <f>ROUND(F25*G25*(1+G$8),2)</f>
        <v>0</v>
      </c>
      <c r="K25" s="110">
        <f>ROUND(F25*H25*(1+G$8),2)</f>
        <v>0</v>
      </c>
      <c r="L25" s="211">
        <f t="shared" ref="L25" si="6">F25*I25</f>
        <v>0</v>
      </c>
      <c r="M25" s="119"/>
      <c r="N25" s="105"/>
      <c r="O25" s="106"/>
      <c r="P25" s="106"/>
      <c r="Q25" s="107"/>
      <c r="R25" s="107"/>
      <c r="S25" s="107"/>
    </row>
    <row r="26" spans="1:19" ht="45" customHeight="1" x14ac:dyDescent="0.25">
      <c r="A26" s="205" t="s">
        <v>141</v>
      </c>
      <c r="B26" s="120" t="str">
        <f>COMPOSIÇÕES!A38</f>
        <v>COMP.013</v>
      </c>
      <c r="C26" s="120" t="s">
        <v>68</v>
      </c>
      <c r="D26" s="121" t="str">
        <f>COMPOSIÇÕES!B38</f>
        <v>ENSAIO DE ADERÊNCIA DE SISTEMA DE PINTURA EM ESTRUTURA METÁLICA - NBR 11003 - COM EMISSÃO DE RELATÓRIO</v>
      </c>
      <c r="E26" s="120" t="str">
        <f>COMPOSIÇÕES!D38</f>
        <v>UNID</v>
      </c>
      <c r="F26" s="120">
        <v>5</v>
      </c>
      <c r="G26" s="122"/>
      <c r="H26" s="122"/>
      <c r="I26" s="123">
        <f>ROUND((G26+H26)*(1+G$8),2)</f>
        <v>0</v>
      </c>
      <c r="J26" s="123">
        <f>ROUND(F26*G26*(1+G$8),2)</f>
        <v>0</v>
      </c>
      <c r="K26" s="123">
        <f>ROUND(F26*H26*(1+G$8),2)</f>
        <v>0</v>
      </c>
      <c r="L26" s="212">
        <f t="shared" ref="L26" si="7">F26*I26</f>
        <v>0</v>
      </c>
      <c r="M26" s="119"/>
    </row>
    <row r="27" spans="1:19" x14ac:dyDescent="0.25">
      <c r="A27" s="207"/>
      <c r="B27" s="124"/>
      <c r="C27" s="124"/>
      <c r="D27" s="125"/>
      <c r="E27" s="124"/>
      <c r="F27" s="124"/>
      <c r="G27" s="126"/>
      <c r="H27" s="126"/>
      <c r="I27" s="127"/>
      <c r="J27" s="127"/>
      <c r="K27" s="127"/>
      <c r="L27" s="213"/>
      <c r="M27" s="119"/>
    </row>
    <row r="28" spans="1:19" ht="24.95" customHeight="1" x14ac:dyDescent="0.25">
      <c r="A28" s="209">
        <v>4</v>
      </c>
      <c r="B28" s="135"/>
      <c r="C28" s="135"/>
      <c r="D28" s="136" t="s">
        <v>134</v>
      </c>
      <c r="E28" s="135"/>
      <c r="F28" s="135"/>
      <c r="G28" s="135"/>
      <c r="H28" s="135"/>
      <c r="I28" s="134"/>
      <c r="J28" s="134"/>
      <c r="K28" s="134"/>
      <c r="L28" s="210">
        <f>SUM(L29:L31)</f>
        <v>0</v>
      </c>
      <c r="M28" s="119"/>
    </row>
    <row r="29" spans="1:19" ht="45" customHeight="1" x14ac:dyDescent="0.25">
      <c r="A29" s="205" t="s">
        <v>142</v>
      </c>
      <c r="B29" s="166" t="str">
        <f>COMPOSIÇÕES!A43</f>
        <v>COMP.014</v>
      </c>
      <c r="C29" s="166" t="s">
        <v>68</v>
      </c>
      <c r="D29" s="108" t="str">
        <f>COMPOSIÇÕES!B43</f>
        <v>RELATÓRIO ESPECÍFICO SOBRE O ACOMPANHAMENTO DA REALIZAÇÃO DOS ENSAIOS PIT EM ESTACAS</v>
      </c>
      <c r="E29" s="166" t="str">
        <f>COMPOSIÇÕES!D43</f>
        <v>UNID</v>
      </c>
      <c r="F29" s="166">
        <v>1</v>
      </c>
      <c r="G29" s="109"/>
      <c r="H29" s="109"/>
      <c r="I29" s="110">
        <f>ROUND((G29+H29)*(1+G$8),2)</f>
        <v>0</v>
      </c>
      <c r="J29" s="110">
        <f>ROUND(F29*G29*(1+G$8),2)</f>
        <v>0</v>
      </c>
      <c r="K29" s="110">
        <f>ROUND(F29*H29*(1+G$8),2)</f>
        <v>0</v>
      </c>
      <c r="L29" s="211">
        <f t="shared" ref="L29:L31" si="8">F29*I29</f>
        <v>0</v>
      </c>
      <c r="M29" s="81"/>
    </row>
    <row r="30" spans="1:19" ht="45" customHeight="1" x14ac:dyDescent="0.25">
      <c r="A30" s="205" t="s">
        <v>143</v>
      </c>
      <c r="B30" s="166" t="str">
        <f>COMPOSIÇÕES!A46</f>
        <v>COMP.015</v>
      </c>
      <c r="C30" s="166" t="s">
        <v>68</v>
      </c>
      <c r="D30" s="108" t="str">
        <f>COMPOSIÇÕES!B46</f>
        <v>RELATÓRIO ESPECÍFICO SOBRE O ACOMPANHAMENTO DA REALIZAÇÃO DOS TESTES DE RESISTÊNCIA À COMPRESSÃO PARA CORPOS DE PROVA DE CONCRETO</v>
      </c>
      <c r="E30" s="166" t="str">
        <f>COMPOSIÇÕES!D46</f>
        <v>UNID</v>
      </c>
      <c r="F30" s="166">
        <v>1</v>
      </c>
      <c r="G30" s="109"/>
      <c r="H30" s="109"/>
      <c r="I30" s="110">
        <f>ROUND((G30+H30)*(1+G$8),2)</f>
        <v>0</v>
      </c>
      <c r="J30" s="110">
        <f>ROUND(F30*G30*(1+G$8),2)</f>
        <v>0</v>
      </c>
      <c r="K30" s="110">
        <f>ROUND(F30*H30*(1+G$8),2)</f>
        <v>0</v>
      </c>
      <c r="L30" s="211">
        <f t="shared" si="8"/>
        <v>0</v>
      </c>
      <c r="M30" s="81"/>
    </row>
    <row r="31" spans="1:19" ht="45" customHeight="1" x14ac:dyDescent="0.25">
      <c r="A31" s="205" t="s">
        <v>144</v>
      </c>
      <c r="B31" s="166" t="str">
        <f>COMPOSIÇÕES!A49</f>
        <v>COMP.016</v>
      </c>
      <c r="C31" s="166" t="s">
        <v>68</v>
      </c>
      <c r="D31" s="108" t="str">
        <f>COMPOSIÇÕES!B49</f>
        <v>RELATÓRIO ESPECÍFICO SOBRE O ACOMPANHAMENTO DA REALIZAÇÃO DOS ENSAIOS DE ARRANCAMENTO DE ARGAMASSA</v>
      </c>
      <c r="E31" s="166" t="str">
        <f>COMPOSIÇÕES!D49</f>
        <v>UNID</v>
      </c>
      <c r="F31" s="166">
        <v>2</v>
      </c>
      <c r="G31" s="109"/>
      <c r="H31" s="109"/>
      <c r="I31" s="110">
        <f>ROUND((G31+H31)*(1+G$8),2)</f>
        <v>0</v>
      </c>
      <c r="J31" s="110">
        <f>ROUND(F31*G31*(1+G$8),2)</f>
        <v>0</v>
      </c>
      <c r="K31" s="110">
        <f>ROUND(F31*H31*(1+G$8),2)</f>
        <v>0</v>
      </c>
      <c r="L31" s="211">
        <f t="shared" si="8"/>
        <v>0</v>
      </c>
      <c r="M31" s="81"/>
    </row>
    <row r="32" spans="1:19" x14ac:dyDescent="0.25">
      <c r="A32" s="162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163"/>
      <c r="M32" s="90"/>
    </row>
    <row r="33" spans="1:13" ht="24.95" customHeight="1" x14ac:dyDescent="0.25">
      <c r="A33" s="203">
        <v>5</v>
      </c>
      <c r="B33" s="131"/>
      <c r="C33" s="131"/>
      <c r="D33" s="132" t="s">
        <v>133</v>
      </c>
      <c r="E33" s="131"/>
      <c r="F33" s="131"/>
      <c r="G33" s="131"/>
      <c r="H33" s="131"/>
      <c r="I33" s="133"/>
      <c r="J33" s="133"/>
      <c r="K33" s="133"/>
      <c r="L33" s="204">
        <f>SUM(L34:L37)</f>
        <v>0</v>
      </c>
      <c r="M33" s="81"/>
    </row>
    <row r="34" spans="1:13" ht="45" customHeight="1" x14ac:dyDescent="0.25">
      <c r="A34" s="205" t="s">
        <v>145</v>
      </c>
      <c r="B34" s="166" t="str">
        <f>COMPOSIÇÕES!A13</f>
        <v>COMP.006</v>
      </c>
      <c r="C34" s="166" t="s">
        <v>68</v>
      </c>
      <c r="D34" s="108" t="str">
        <f>COMPOSIÇÕES!B13</f>
        <v>ELABORAÇÃO DE LAUDO DE SISTEMA LUMINOTÉCNICO (SISTEMA DE ILUMINAÇÃO DE EMERGÊNCIA) - CONFORME CBM-SC</v>
      </c>
      <c r="E34" s="166" t="str">
        <f>COMPOSIÇÕES!D13</f>
        <v>UNID</v>
      </c>
      <c r="F34" s="166">
        <v>1</v>
      </c>
      <c r="G34" s="109"/>
      <c r="H34" s="109"/>
      <c r="I34" s="110">
        <f>ROUND((G34+H34)*(1+G$8),2)</f>
        <v>0</v>
      </c>
      <c r="J34" s="110">
        <f>ROUND(F34*G34*(1+G$8),2)</f>
        <v>0</v>
      </c>
      <c r="K34" s="110">
        <f>ROUND(F34*H34*(1+G$8),2)</f>
        <v>0</v>
      </c>
      <c r="L34" s="211">
        <f>F34*I34</f>
        <v>0</v>
      </c>
      <c r="M34" s="82" t="s">
        <v>164</v>
      </c>
    </row>
    <row r="35" spans="1:13" ht="45" customHeight="1" x14ac:dyDescent="0.25">
      <c r="A35" s="205" t="s">
        <v>146</v>
      </c>
      <c r="B35" s="166" t="str">
        <f>COMPOSIÇÕES!A16</f>
        <v>COMP.007</v>
      </c>
      <c r="C35" s="166" t="s">
        <v>68</v>
      </c>
      <c r="D35" s="108" t="str">
        <f>COMPOSIÇÕES!B16</f>
        <v>ELABORAÇÃO DE LAUDO DE MEDIÇÃO DE SONORIDADE DE SISTEMA DE ALARME DE INCÊNDIO ) - CONFORME CBM-SC</v>
      </c>
      <c r="E35" s="166" t="str">
        <f>COMPOSIÇÕES!D16</f>
        <v>UNID</v>
      </c>
      <c r="F35" s="166">
        <v>1</v>
      </c>
      <c r="G35" s="109"/>
      <c r="H35" s="109"/>
      <c r="I35" s="110">
        <f>ROUND((G35+H35)*(1+G$8),2)</f>
        <v>0</v>
      </c>
      <c r="J35" s="110">
        <f>ROUND(F35*G35*(1+G$8),2)</f>
        <v>0</v>
      </c>
      <c r="K35" s="110">
        <f>ROUND(F35*H35*(1+G$8),2)</f>
        <v>0</v>
      </c>
      <c r="L35" s="211">
        <f>F35*I35</f>
        <v>0</v>
      </c>
      <c r="M35" s="82" t="s">
        <v>164</v>
      </c>
    </row>
    <row r="36" spans="1:13" ht="36" customHeight="1" x14ac:dyDescent="0.25">
      <c r="A36" s="205" t="s">
        <v>147</v>
      </c>
      <c r="B36" s="166" t="str">
        <f>COMPOSIÇÕES!A19</f>
        <v>COMP.008</v>
      </c>
      <c r="C36" s="166" t="s">
        <v>68</v>
      </c>
      <c r="D36" s="108" t="str">
        <f>COMPOSIÇÕES!B19</f>
        <v>ELABORAÇÃO DE LAUDO DE INSTALAÇÕES ELÉTRICAS DE BAIXA TENSÃO) - CONFORME CBM-SC</v>
      </c>
      <c r="E36" s="166" t="str">
        <f>COMPOSIÇÕES!D19</f>
        <v>UNID</v>
      </c>
      <c r="F36" s="166">
        <v>1</v>
      </c>
      <c r="G36" s="109"/>
      <c r="H36" s="109"/>
      <c r="I36" s="110">
        <f>ROUND((G36+H36)*(1+G$8),2)</f>
        <v>0</v>
      </c>
      <c r="J36" s="110">
        <f>ROUND(F36*G36*(1+G$8),2)</f>
        <v>0</v>
      </c>
      <c r="K36" s="110">
        <f>ROUND(F36*H36*(1+G$8),2)</f>
        <v>0</v>
      </c>
      <c r="L36" s="211">
        <f>F36*I36</f>
        <v>0</v>
      </c>
      <c r="M36" s="82" t="s">
        <v>164</v>
      </c>
    </row>
    <row r="37" spans="1:13" ht="45" customHeight="1" x14ac:dyDescent="0.25">
      <c r="A37" s="205" t="s">
        <v>197</v>
      </c>
      <c r="B37" s="166" t="str">
        <f>COMPOSIÇÕES!A4</f>
        <v>COMP.001</v>
      </c>
      <c r="C37" s="166" t="s">
        <v>67</v>
      </c>
      <c r="D37" s="108" t="s">
        <v>94</v>
      </c>
      <c r="E37" s="166" t="str">
        <f>COMPOSIÇÕES!D22</f>
        <v>UNID</v>
      </c>
      <c r="F37" s="166">
        <v>1</v>
      </c>
      <c r="G37" s="109"/>
      <c r="H37" s="109"/>
      <c r="I37" s="110">
        <f>ROUND((G37+H37)*(1+G$8),2)</f>
        <v>0</v>
      </c>
      <c r="J37" s="110">
        <f>ROUND(F37*G37*(1+G$8),2)</f>
        <v>0</v>
      </c>
      <c r="K37" s="110">
        <f>ROUND(F37*H37*(1+G$8),2)</f>
        <v>0</v>
      </c>
      <c r="L37" s="211">
        <f>F37*I37</f>
        <v>0</v>
      </c>
      <c r="M37" s="82" t="s">
        <v>164</v>
      </c>
    </row>
    <row r="38" spans="1:13" x14ac:dyDescent="0.25">
      <c r="A38" s="162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163"/>
      <c r="M38" s="90"/>
    </row>
    <row r="39" spans="1:13" ht="24.95" customHeight="1" x14ac:dyDescent="0.25">
      <c r="A39" s="203">
        <v>6</v>
      </c>
      <c r="B39" s="131"/>
      <c r="C39" s="131"/>
      <c r="D39" s="132" t="s">
        <v>149</v>
      </c>
      <c r="E39" s="131"/>
      <c r="F39" s="131"/>
      <c r="G39" s="131"/>
      <c r="H39" s="131"/>
      <c r="I39" s="133"/>
      <c r="J39" s="133"/>
      <c r="K39" s="133"/>
      <c r="L39" s="204">
        <f>SUM(L40:L40)</f>
        <v>0</v>
      </c>
      <c r="M39" s="81"/>
    </row>
    <row r="40" spans="1:13" ht="35.1" customHeight="1" thickBot="1" x14ac:dyDescent="0.3">
      <c r="A40" s="205" t="s">
        <v>148</v>
      </c>
      <c r="B40" s="166" t="str">
        <f>COMPOSIÇÕES!A55</f>
        <v>COMP.019</v>
      </c>
      <c r="C40" s="166" t="s">
        <v>68</v>
      </c>
      <c r="D40" s="108" t="str">
        <f>COMPOSIÇÕES!B55</f>
        <v>ELABORAÇÃO DE RELATÓRIOS DE RECEBIMENTO PROVISÓRIO E DEFINITIVO - ENGENHEIRO CIVIL</v>
      </c>
      <c r="E40" s="166" t="str">
        <f>COMPOSIÇÕES!D55</f>
        <v>UNID</v>
      </c>
      <c r="F40" s="112">
        <v>2</v>
      </c>
      <c r="G40" s="109"/>
      <c r="H40" s="109"/>
      <c r="I40" s="110">
        <f t="shared" ref="I40" si="9">ROUND((G40+H40)*(1+G$8),2)</f>
        <v>0</v>
      </c>
      <c r="J40" s="110">
        <f t="shared" ref="J40" si="10">ROUND(F40*G40*(1+G$8),2)</f>
        <v>0</v>
      </c>
      <c r="K40" s="110">
        <f t="shared" ref="K40" si="11">ROUND(F40*H40*(1+G$8),2)</f>
        <v>0</v>
      </c>
      <c r="L40" s="211">
        <f>F40*I40</f>
        <v>0</v>
      </c>
      <c r="M40" s="81"/>
    </row>
    <row r="41" spans="1:13" ht="35.1" customHeight="1" thickBot="1" x14ac:dyDescent="0.3">
      <c r="A41" s="81"/>
      <c r="B41" s="81"/>
      <c r="C41" s="81"/>
      <c r="D41" s="81"/>
      <c r="E41" s="81"/>
      <c r="F41" s="81"/>
      <c r="G41" s="81"/>
      <c r="H41" s="217"/>
      <c r="I41" s="218" t="s">
        <v>155</v>
      </c>
      <c r="J41" s="214">
        <f>SUM(J13:J40)</f>
        <v>0</v>
      </c>
      <c r="K41" s="215">
        <f>SUM(K13:K40)</f>
        <v>0</v>
      </c>
      <c r="L41" s="216">
        <f>SUM(L12:L40)/2</f>
        <v>0</v>
      </c>
      <c r="M41" s="150">
        <f>L41*0.3/100</f>
        <v>0</v>
      </c>
    </row>
    <row r="42" spans="1:13" x14ac:dyDescent="0.25">
      <c r="A42" s="113"/>
      <c r="B42" s="114"/>
      <c r="C42" s="114"/>
      <c r="D42" s="115"/>
      <c r="E42" s="116"/>
      <c r="F42" s="116"/>
      <c r="G42" s="117"/>
      <c r="H42" s="117"/>
      <c r="I42" s="118"/>
      <c r="J42" s="117"/>
      <c r="K42" s="149"/>
      <c r="L42" s="117"/>
      <c r="M42" s="150"/>
    </row>
    <row r="43" spans="1:13" x14ac:dyDescent="0.25">
      <c r="A43" s="113"/>
      <c r="B43" s="114"/>
      <c r="C43" s="114"/>
      <c r="D43" s="220"/>
      <c r="E43" s="221"/>
      <c r="F43" s="116"/>
      <c r="G43" s="117"/>
      <c r="H43" s="117"/>
      <c r="I43" s="118"/>
      <c r="J43" s="117"/>
      <c r="K43" s="149"/>
      <c r="L43" s="117"/>
      <c r="M43" s="150">
        <f>L41/12</f>
        <v>0</v>
      </c>
    </row>
    <row r="44" spans="1:13" x14ac:dyDescent="0.25">
      <c r="A44" s="113"/>
      <c r="B44" s="114"/>
      <c r="C44" s="114"/>
      <c r="D44" s="229" t="s">
        <v>195</v>
      </c>
      <c r="E44" s="229"/>
      <c r="F44" s="116"/>
      <c r="G44" s="117"/>
      <c r="H44" s="117"/>
      <c r="I44" s="118"/>
      <c r="J44" s="117"/>
      <c r="K44" s="149"/>
      <c r="L44" s="117"/>
      <c r="M44" s="150">
        <f>L41/52</f>
        <v>0</v>
      </c>
    </row>
    <row r="45" spans="1:13" x14ac:dyDescent="0.25">
      <c r="A45" s="113"/>
      <c r="B45" s="114"/>
      <c r="C45" s="114"/>
      <c r="D45" s="115"/>
      <c r="E45" s="116"/>
      <c r="F45" s="116"/>
      <c r="G45" s="117"/>
      <c r="H45" s="117"/>
      <c r="I45" s="118"/>
      <c r="J45" s="117"/>
      <c r="K45" s="149"/>
      <c r="L45" s="117"/>
      <c r="M45" s="81"/>
    </row>
  </sheetData>
  <mergeCells count="10">
    <mergeCell ref="K10:K11"/>
    <mergeCell ref="E7:F7"/>
    <mergeCell ref="E8:F8"/>
    <mergeCell ref="G8:I8"/>
    <mergeCell ref="G7:I7"/>
    <mergeCell ref="D44:E44"/>
    <mergeCell ref="A2:C10"/>
    <mergeCell ref="G10:H10"/>
    <mergeCell ref="I10:I11"/>
    <mergeCell ref="J10:J11"/>
  </mergeCells>
  <pageMargins left="0.28999999999999998" right="0.14000000000000001" top="0.78740157480314965" bottom="0.47" header="0.31496062992125984" footer="0.31496062992125984"/>
  <pageSetup paperSize="9" scale="60" fitToHeight="0" orientation="portrait" horizontalDpi="1200" verticalDpi="1200" r:id="rId1"/>
  <headerFooter>
    <oddFooter>&amp;CSUPERVISÃO DA OBRA DO FT DE TUBARÃO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XFD48"/>
  <sheetViews>
    <sheetView zoomScale="87" zoomScaleNormal="87" workbookViewId="0">
      <pane xSplit="2" ySplit="7" topLeftCell="C35" activePane="bottomRight" state="frozen"/>
      <selection pane="topRight" activeCell="C1" sqref="C1"/>
      <selection pane="bottomLeft" activeCell="A9" sqref="A9"/>
      <selection pane="bottomRight" activeCell="J56" sqref="J56"/>
    </sheetView>
  </sheetViews>
  <sheetFormatPr defaultRowHeight="15" x14ac:dyDescent="0.25"/>
  <cols>
    <col min="1" max="1" width="9" customWidth="1"/>
    <col min="2" max="2" width="57.140625" customWidth="1"/>
    <col min="3" max="3" width="19.7109375" customWidth="1"/>
    <col min="4" max="15" width="15.5703125" bestFit="1" customWidth="1"/>
    <col min="16" max="16" width="16.85546875" customWidth="1"/>
  </cols>
  <sheetData>
    <row r="1" spans="1:16 16384:16384" ht="31.5" customHeight="1" thickBot="1" x14ac:dyDescent="0.3">
      <c r="A1" s="264"/>
      <c r="B1" s="265"/>
      <c r="C1" s="268" t="s">
        <v>165</v>
      </c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70"/>
    </row>
    <row r="2" spans="1:16 16384:16384" ht="24.95" customHeight="1" x14ac:dyDescent="0.25">
      <c r="A2" s="266"/>
      <c r="B2" s="267"/>
      <c r="C2" s="193" t="s">
        <v>49</v>
      </c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172"/>
    </row>
    <row r="3" spans="1:16 16384:16384" ht="24.95" customHeight="1" x14ac:dyDescent="0.25">
      <c r="A3" s="266"/>
      <c r="B3" s="267"/>
      <c r="C3" s="194" t="s">
        <v>50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163"/>
    </row>
    <row r="4" spans="1:16 16384:16384" ht="24.95" customHeight="1" x14ac:dyDescent="0.25">
      <c r="A4" s="266"/>
      <c r="B4" s="267"/>
      <c r="C4" s="193" t="s">
        <v>54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172"/>
    </row>
    <row r="5" spans="1:16 16384:16384" ht="24.95" customHeight="1" thickBot="1" x14ac:dyDescent="0.3">
      <c r="A5" s="266"/>
      <c r="B5" s="267"/>
      <c r="C5" s="195" t="s">
        <v>51</v>
      </c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4"/>
    </row>
    <row r="6" spans="1:16 16384:16384" ht="16.5" customHeight="1" thickBot="1" x14ac:dyDescent="0.3">
      <c r="A6" s="271" t="s">
        <v>5</v>
      </c>
      <c r="B6" s="271" t="s">
        <v>166</v>
      </c>
      <c r="C6" s="273" t="s">
        <v>86</v>
      </c>
      <c r="D6" s="276" t="s">
        <v>167</v>
      </c>
      <c r="E6" s="262" t="s">
        <v>168</v>
      </c>
      <c r="F6" s="262" t="s">
        <v>169</v>
      </c>
      <c r="G6" s="262" t="s">
        <v>171</v>
      </c>
      <c r="H6" s="262" t="s">
        <v>172</v>
      </c>
      <c r="I6" s="262" t="s">
        <v>173</v>
      </c>
      <c r="J6" s="262" t="s">
        <v>174</v>
      </c>
      <c r="K6" s="262" t="s">
        <v>175</v>
      </c>
      <c r="L6" s="262" t="s">
        <v>176</v>
      </c>
      <c r="M6" s="262" t="s">
        <v>177</v>
      </c>
      <c r="N6" s="262" t="s">
        <v>178</v>
      </c>
      <c r="O6" s="262" t="s">
        <v>179</v>
      </c>
      <c r="P6" s="275" t="s">
        <v>20</v>
      </c>
    </row>
    <row r="7" spans="1:16 16384:16384" ht="15.75" thickBot="1" x14ac:dyDescent="0.3">
      <c r="A7" s="272"/>
      <c r="B7" s="272"/>
      <c r="C7" s="274"/>
      <c r="D7" s="277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75"/>
    </row>
    <row r="8" spans="1:16 16384:16384" ht="18" customHeight="1" x14ac:dyDescent="0.25">
      <c r="A8" s="252" t="str">
        <f>ORÇAMENTO!A13</f>
        <v>1.1</v>
      </c>
      <c r="B8" s="247" t="str">
        <f>ORÇAMENTO!D13</f>
        <v>CÓPIAS E PLOTAGENS DE PROJETOS</v>
      </c>
      <c r="C8" s="183">
        <f>ORÇAMENTO!L13</f>
        <v>0</v>
      </c>
      <c r="D8" s="184">
        <f>$C8*D9</f>
        <v>0</v>
      </c>
      <c r="E8" s="184">
        <f t="shared" ref="E8:O8" si="0">$C8*E9</f>
        <v>0</v>
      </c>
      <c r="F8" s="184">
        <f t="shared" si="0"/>
        <v>0</v>
      </c>
      <c r="G8" s="184">
        <f t="shared" si="0"/>
        <v>0</v>
      </c>
      <c r="H8" s="184">
        <f>$C8*H9</f>
        <v>0</v>
      </c>
      <c r="I8" s="184">
        <f t="shared" si="0"/>
        <v>0</v>
      </c>
      <c r="J8" s="184">
        <f t="shared" si="0"/>
        <v>0</v>
      </c>
      <c r="K8" s="184">
        <f t="shared" si="0"/>
        <v>0</v>
      </c>
      <c r="L8" s="184">
        <f t="shared" si="0"/>
        <v>0</v>
      </c>
      <c r="M8" s="184">
        <f t="shared" si="0"/>
        <v>0</v>
      </c>
      <c r="N8" s="184">
        <f t="shared" si="0"/>
        <v>0</v>
      </c>
      <c r="O8" s="184">
        <f t="shared" si="0"/>
        <v>0</v>
      </c>
      <c r="P8" s="145">
        <f t="shared" ref="P8:P15" si="1">SUM(D8:O8)</f>
        <v>0</v>
      </c>
    </row>
    <row r="9" spans="1:16 16384:16384" ht="18" customHeight="1" thickBot="1" x14ac:dyDescent="0.3">
      <c r="A9" s="253"/>
      <c r="B9" s="248"/>
      <c r="C9" s="185" t="e">
        <f>C8/ORÇAMENTO!L$41</f>
        <v>#DIV/0!</v>
      </c>
      <c r="D9" s="186">
        <v>0.5</v>
      </c>
      <c r="E9" s="186">
        <v>0</v>
      </c>
      <c r="F9" s="186">
        <v>0</v>
      </c>
      <c r="G9" s="186">
        <v>0</v>
      </c>
      <c r="H9" s="186">
        <v>0</v>
      </c>
      <c r="I9" s="186">
        <v>0.5</v>
      </c>
      <c r="J9" s="186">
        <v>0</v>
      </c>
      <c r="K9" s="186">
        <v>0</v>
      </c>
      <c r="L9" s="186">
        <v>0</v>
      </c>
      <c r="M9" s="186">
        <v>0</v>
      </c>
      <c r="N9" s="186">
        <v>0</v>
      </c>
      <c r="O9" s="186">
        <v>0</v>
      </c>
      <c r="P9" s="187">
        <f t="shared" si="1"/>
        <v>1</v>
      </c>
    </row>
    <row r="10" spans="1:16 16384:16384" ht="18" customHeight="1" x14ac:dyDescent="0.25">
      <c r="A10" s="256" t="str">
        <f>ORÇAMENTO!A16</f>
        <v>2.1</v>
      </c>
      <c r="B10" s="249" t="str">
        <f>ORÇAMENTO!D16</f>
        <v>ANOTAÇÃO DE RESPONSABILIDADE TÉCNICA - PROFISSIONAIS RESPONSÁVEIS PELA SUPERVISÃO DA OBRA</v>
      </c>
      <c r="C10" s="181">
        <f>ORÇAMENTO!L16</f>
        <v>0</v>
      </c>
      <c r="D10" s="182">
        <f>$C10*D11</f>
        <v>0</v>
      </c>
      <c r="E10" s="182">
        <f t="shared" ref="E10:O10" si="2">$C10*E11</f>
        <v>0</v>
      </c>
      <c r="F10" s="182">
        <f t="shared" si="2"/>
        <v>0</v>
      </c>
      <c r="G10" s="182">
        <f t="shared" si="2"/>
        <v>0</v>
      </c>
      <c r="H10" s="182">
        <f t="shared" si="2"/>
        <v>0</v>
      </c>
      <c r="I10" s="182">
        <f t="shared" si="2"/>
        <v>0</v>
      </c>
      <c r="J10" s="182">
        <f t="shared" si="2"/>
        <v>0</v>
      </c>
      <c r="K10" s="182">
        <f t="shared" si="2"/>
        <v>0</v>
      </c>
      <c r="L10" s="182">
        <f t="shared" si="2"/>
        <v>0</v>
      </c>
      <c r="M10" s="182">
        <f t="shared" si="2"/>
        <v>0</v>
      </c>
      <c r="N10" s="182">
        <f t="shared" si="2"/>
        <v>0</v>
      </c>
      <c r="O10" s="182">
        <f t="shared" si="2"/>
        <v>0</v>
      </c>
      <c r="P10" s="146">
        <f t="shared" si="1"/>
        <v>0</v>
      </c>
    </row>
    <row r="11" spans="1:16 16384:16384" ht="18" customHeight="1" thickBot="1" x14ac:dyDescent="0.3">
      <c r="A11" s="256"/>
      <c r="B11" s="249"/>
      <c r="C11" s="175" t="e">
        <f>C10/ORÇAMENTO!L$41</f>
        <v>#DIV/0!</v>
      </c>
      <c r="D11" s="192">
        <v>1</v>
      </c>
      <c r="E11" s="177">
        <v>0</v>
      </c>
      <c r="F11" s="177">
        <v>0</v>
      </c>
      <c r="G11" s="177">
        <v>0</v>
      </c>
      <c r="H11" s="177">
        <v>0</v>
      </c>
      <c r="I11" s="177">
        <v>0</v>
      </c>
      <c r="J11" s="177">
        <v>0</v>
      </c>
      <c r="K11" s="177">
        <v>0</v>
      </c>
      <c r="L11" s="177">
        <v>0</v>
      </c>
      <c r="M11" s="177">
        <v>0</v>
      </c>
      <c r="N11" s="177">
        <v>0</v>
      </c>
      <c r="O11" s="177">
        <v>0</v>
      </c>
      <c r="P11" s="178">
        <f t="shared" si="1"/>
        <v>1</v>
      </c>
    </row>
    <row r="12" spans="1:16 16384:16384" ht="18" customHeight="1" x14ac:dyDescent="0.25">
      <c r="A12" s="252" t="str">
        <f>ORÇAMENTO!A17</f>
        <v>2.2</v>
      </c>
      <c r="B12" s="247" t="str">
        <f>ORÇAMENTO!D17</f>
        <v>ELABORAÇÃO DE RELATÓRIOS SEMANAIS DE SUPERVISÃO DA OBRA - ENGENHEIRO CIVIL SÊNIOR</v>
      </c>
      <c r="C12" s="183">
        <f>ORÇAMENTO!L17</f>
        <v>0</v>
      </c>
      <c r="D12" s="184">
        <f>$C12*D13</f>
        <v>0</v>
      </c>
      <c r="E12" s="184">
        <f t="shared" ref="E12:O12" si="3">$C12*E13</f>
        <v>0</v>
      </c>
      <c r="F12" s="184">
        <f t="shared" si="3"/>
        <v>0</v>
      </c>
      <c r="G12" s="184">
        <f t="shared" si="3"/>
        <v>0</v>
      </c>
      <c r="H12" s="184">
        <f t="shared" si="3"/>
        <v>0</v>
      </c>
      <c r="I12" s="184">
        <f t="shared" si="3"/>
        <v>0</v>
      </c>
      <c r="J12" s="184">
        <f t="shared" si="3"/>
        <v>0</v>
      </c>
      <c r="K12" s="184">
        <f t="shared" si="3"/>
        <v>0</v>
      </c>
      <c r="L12" s="184">
        <f t="shared" si="3"/>
        <v>0</v>
      </c>
      <c r="M12" s="184">
        <f t="shared" si="3"/>
        <v>0</v>
      </c>
      <c r="N12" s="184">
        <f t="shared" si="3"/>
        <v>0</v>
      </c>
      <c r="O12" s="184">
        <f t="shared" si="3"/>
        <v>0</v>
      </c>
      <c r="P12" s="145">
        <f t="shared" si="1"/>
        <v>0</v>
      </c>
    </row>
    <row r="13" spans="1:16 16384:16384" ht="18" customHeight="1" thickBot="1" x14ac:dyDescent="0.3">
      <c r="A13" s="253"/>
      <c r="B13" s="248"/>
      <c r="C13" s="185" t="e">
        <f>C12/ORÇAMENTO!L$41</f>
        <v>#DIV/0!</v>
      </c>
      <c r="D13" s="188">
        <f>1/12</f>
        <v>8.3333333333333329E-2</v>
      </c>
      <c r="E13" s="188">
        <f t="shared" ref="E13:O13" si="4">1/12</f>
        <v>8.3333333333333329E-2</v>
      </c>
      <c r="F13" s="188">
        <f t="shared" si="4"/>
        <v>8.3333333333333329E-2</v>
      </c>
      <c r="G13" s="188">
        <f t="shared" si="4"/>
        <v>8.3333333333333329E-2</v>
      </c>
      <c r="H13" s="188">
        <f t="shared" si="4"/>
        <v>8.3333333333333329E-2</v>
      </c>
      <c r="I13" s="188">
        <f t="shared" si="4"/>
        <v>8.3333333333333329E-2</v>
      </c>
      <c r="J13" s="188">
        <f t="shared" si="4"/>
        <v>8.3333333333333329E-2</v>
      </c>
      <c r="K13" s="188">
        <f t="shared" si="4"/>
        <v>8.3333333333333329E-2</v>
      </c>
      <c r="L13" s="188">
        <f t="shared" si="4"/>
        <v>8.3333333333333329E-2</v>
      </c>
      <c r="M13" s="188">
        <f t="shared" si="4"/>
        <v>8.3333333333333329E-2</v>
      </c>
      <c r="N13" s="188">
        <f t="shared" si="4"/>
        <v>8.3333333333333329E-2</v>
      </c>
      <c r="O13" s="188">
        <f t="shared" si="4"/>
        <v>8.3333333333333329E-2</v>
      </c>
      <c r="P13" s="187">
        <f>SUM(D13:O13)</f>
        <v>1</v>
      </c>
    </row>
    <row r="14" spans="1:16 16384:16384" ht="21.95" customHeight="1" x14ac:dyDescent="0.25">
      <c r="A14" s="256" t="str">
        <f>ORÇAMENTO!A18</f>
        <v>2.3</v>
      </c>
      <c r="B14" s="249" t="str">
        <f>ORÇAMENTO!D18</f>
        <v>SUPERVISÃO E PREENCHIMENTO DO DIÁRIO DE OBRAS</v>
      </c>
      <c r="C14" s="181">
        <f>ORÇAMENTO!L18</f>
        <v>0</v>
      </c>
      <c r="D14" s="182">
        <f>$C14*D15</f>
        <v>0</v>
      </c>
      <c r="E14" s="182">
        <f t="shared" ref="E14:O14" si="5">$C14*E15</f>
        <v>0</v>
      </c>
      <c r="F14" s="182">
        <f t="shared" si="5"/>
        <v>0</v>
      </c>
      <c r="G14" s="182">
        <f t="shared" si="5"/>
        <v>0</v>
      </c>
      <c r="H14" s="182">
        <f t="shared" si="5"/>
        <v>0</v>
      </c>
      <c r="I14" s="182">
        <f t="shared" si="5"/>
        <v>0</v>
      </c>
      <c r="J14" s="182">
        <f t="shared" si="5"/>
        <v>0</v>
      </c>
      <c r="K14" s="182">
        <f t="shared" si="5"/>
        <v>0</v>
      </c>
      <c r="L14" s="182">
        <f t="shared" si="5"/>
        <v>0</v>
      </c>
      <c r="M14" s="182">
        <f t="shared" si="5"/>
        <v>0</v>
      </c>
      <c r="N14" s="182">
        <f t="shared" si="5"/>
        <v>0</v>
      </c>
      <c r="O14" s="182">
        <f t="shared" si="5"/>
        <v>0</v>
      </c>
      <c r="P14" s="146">
        <f t="shared" si="1"/>
        <v>0</v>
      </c>
    </row>
    <row r="15" spans="1:16 16384:16384" ht="21.95" customHeight="1" thickBot="1" x14ac:dyDescent="0.3">
      <c r="A15" s="256"/>
      <c r="B15" s="249"/>
      <c r="C15" s="175" t="e">
        <f>C14/ORÇAMENTO!L$41</f>
        <v>#DIV/0!</v>
      </c>
      <c r="D15" s="177">
        <f t="shared" ref="D15:O17" si="6">1/12</f>
        <v>8.3333333333333329E-2</v>
      </c>
      <c r="E15" s="177">
        <f t="shared" si="6"/>
        <v>8.3333333333333329E-2</v>
      </c>
      <c r="F15" s="177">
        <f t="shared" si="6"/>
        <v>8.3333333333333329E-2</v>
      </c>
      <c r="G15" s="177">
        <f t="shared" si="6"/>
        <v>8.3333333333333329E-2</v>
      </c>
      <c r="H15" s="177">
        <f t="shared" si="6"/>
        <v>8.3333333333333329E-2</v>
      </c>
      <c r="I15" s="177">
        <f t="shared" si="6"/>
        <v>8.3333333333333329E-2</v>
      </c>
      <c r="J15" s="177">
        <f t="shared" si="6"/>
        <v>8.3333333333333329E-2</v>
      </c>
      <c r="K15" s="177">
        <f t="shared" si="6"/>
        <v>8.3333333333333329E-2</v>
      </c>
      <c r="L15" s="177">
        <f t="shared" si="6"/>
        <v>8.3333333333333329E-2</v>
      </c>
      <c r="M15" s="177">
        <f t="shared" si="6"/>
        <v>8.3333333333333329E-2</v>
      </c>
      <c r="N15" s="177">
        <f t="shared" si="6"/>
        <v>8.3333333333333329E-2</v>
      </c>
      <c r="O15" s="177">
        <f t="shared" si="6"/>
        <v>8.3333333333333329E-2</v>
      </c>
      <c r="P15" s="178">
        <f t="shared" si="1"/>
        <v>1</v>
      </c>
      <c r="XFD15" s="140">
        <f>1/12</f>
        <v>8.3333333333333329E-2</v>
      </c>
    </row>
    <row r="16" spans="1:16 16384:16384" ht="18" customHeight="1" x14ac:dyDescent="0.25">
      <c r="A16" s="252" t="str">
        <f>ORÇAMENTO!A19</f>
        <v>2.4</v>
      </c>
      <c r="B16" s="247" t="str">
        <f>ORÇAMENTO!D19</f>
        <v>RELATÓRIO MENSAL DE AS BUILT E CONFERÊNCIA/AJUSTES DE PROJETO AS BUILT</v>
      </c>
      <c r="C16" s="183">
        <f>ORÇAMENTO!L19</f>
        <v>0</v>
      </c>
      <c r="D16" s="184">
        <f>$C16*D17</f>
        <v>0</v>
      </c>
      <c r="E16" s="184">
        <f t="shared" ref="E16:O16" si="7">$C16*E17</f>
        <v>0</v>
      </c>
      <c r="F16" s="184">
        <f t="shared" si="7"/>
        <v>0</v>
      </c>
      <c r="G16" s="184">
        <f t="shared" si="7"/>
        <v>0</v>
      </c>
      <c r="H16" s="184">
        <f t="shared" si="7"/>
        <v>0</v>
      </c>
      <c r="I16" s="184">
        <f t="shared" si="7"/>
        <v>0</v>
      </c>
      <c r="J16" s="184">
        <f t="shared" si="7"/>
        <v>0</v>
      </c>
      <c r="K16" s="184">
        <f t="shared" si="7"/>
        <v>0</v>
      </c>
      <c r="L16" s="184">
        <f t="shared" si="7"/>
        <v>0</v>
      </c>
      <c r="M16" s="184">
        <f t="shared" si="7"/>
        <v>0</v>
      </c>
      <c r="N16" s="184">
        <f t="shared" si="7"/>
        <v>0</v>
      </c>
      <c r="O16" s="184">
        <f t="shared" si="7"/>
        <v>0</v>
      </c>
      <c r="P16" s="145">
        <f t="shared" ref="P16:P43" si="8">SUM(D16:O16)</f>
        <v>0</v>
      </c>
    </row>
    <row r="17" spans="1:16" ht="18" customHeight="1" thickBot="1" x14ac:dyDescent="0.3">
      <c r="A17" s="253"/>
      <c r="B17" s="248"/>
      <c r="C17" s="185" t="e">
        <f>C16/ORÇAMENTO!L$41</f>
        <v>#DIV/0!</v>
      </c>
      <c r="D17" s="188">
        <f t="shared" si="6"/>
        <v>8.3333333333333329E-2</v>
      </c>
      <c r="E17" s="188">
        <f t="shared" si="6"/>
        <v>8.3333333333333329E-2</v>
      </c>
      <c r="F17" s="188">
        <f t="shared" si="6"/>
        <v>8.3333333333333329E-2</v>
      </c>
      <c r="G17" s="188">
        <f t="shared" si="6"/>
        <v>8.3333333333333329E-2</v>
      </c>
      <c r="H17" s="188">
        <f t="shared" si="6"/>
        <v>8.3333333333333329E-2</v>
      </c>
      <c r="I17" s="188">
        <f t="shared" si="6"/>
        <v>8.3333333333333329E-2</v>
      </c>
      <c r="J17" s="188">
        <f t="shared" si="6"/>
        <v>8.3333333333333329E-2</v>
      </c>
      <c r="K17" s="188">
        <f t="shared" si="6"/>
        <v>8.3333333333333329E-2</v>
      </c>
      <c r="L17" s="188">
        <f t="shared" si="6"/>
        <v>8.3333333333333329E-2</v>
      </c>
      <c r="M17" s="188">
        <f t="shared" si="6"/>
        <v>8.3333333333333329E-2</v>
      </c>
      <c r="N17" s="188">
        <f t="shared" si="6"/>
        <v>8.3333333333333329E-2</v>
      </c>
      <c r="O17" s="188">
        <f t="shared" si="6"/>
        <v>8.3333333333333329E-2</v>
      </c>
      <c r="P17" s="187">
        <f t="shared" si="8"/>
        <v>1</v>
      </c>
    </row>
    <row r="18" spans="1:16" ht="18" customHeight="1" x14ac:dyDescent="0.25">
      <c r="A18" s="256" t="str">
        <f>ORÇAMENTO!A22</f>
        <v>3.1</v>
      </c>
      <c r="B18" s="249" t="str">
        <f>ORÇAMENTO!D22</f>
        <v>TESTE HIDROSTÁTICO DE PRESSÃO EM TODAS AS TUBULAÇÕES PREDIAIS DE ÁGUA FRIA E RESERVATÓRIOS - COM EMISSÃO DE RELATÓRIO</v>
      </c>
      <c r="C18" s="181">
        <f>ORÇAMENTO!L22</f>
        <v>0</v>
      </c>
      <c r="D18" s="182">
        <f>$C18*D19</f>
        <v>0</v>
      </c>
      <c r="E18" s="182">
        <f t="shared" ref="E18:O18" si="9">$C18*E19</f>
        <v>0</v>
      </c>
      <c r="F18" s="182">
        <f t="shared" si="9"/>
        <v>0</v>
      </c>
      <c r="G18" s="182">
        <f t="shared" si="9"/>
        <v>0</v>
      </c>
      <c r="H18" s="182">
        <f t="shared" si="9"/>
        <v>0</v>
      </c>
      <c r="I18" s="182">
        <f t="shared" si="9"/>
        <v>0</v>
      </c>
      <c r="J18" s="182">
        <f t="shared" si="9"/>
        <v>0</v>
      </c>
      <c r="K18" s="182">
        <f t="shared" si="9"/>
        <v>0</v>
      </c>
      <c r="L18" s="182">
        <f t="shared" si="9"/>
        <v>0</v>
      </c>
      <c r="M18" s="182">
        <f t="shared" si="9"/>
        <v>0</v>
      </c>
      <c r="N18" s="182">
        <f t="shared" si="9"/>
        <v>0</v>
      </c>
      <c r="O18" s="182">
        <f t="shared" si="9"/>
        <v>0</v>
      </c>
      <c r="P18" s="146">
        <f t="shared" si="8"/>
        <v>0</v>
      </c>
    </row>
    <row r="19" spans="1:16" ht="18" customHeight="1" thickBot="1" x14ac:dyDescent="0.3">
      <c r="A19" s="256"/>
      <c r="B19" s="249"/>
      <c r="C19" s="175" t="e">
        <f>C18/ORÇAMENTO!L$41</f>
        <v>#DIV/0!</v>
      </c>
      <c r="D19" s="176">
        <v>0</v>
      </c>
      <c r="E19" s="176">
        <v>0</v>
      </c>
      <c r="F19" s="176">
        <v>0</v>
      </c>
      <c r="G19" s="176">
        <v>0</v>
      </c>
      <c r="H19" s="176">
        <v>0</v>
      </c>
      <c r="I19" s="176">
        <v>1</v>
      </c>
      <c r="J19" s="176">
        <v>0</v>
      </c>
      <c r="K19" s="176">
        <v>0</v>
      </c>
      <c r="L19" s="176">
        <v>0</v>
      </c>
      <c r="M19" s="176">
        <v>0</v>
      </c>
      <c r="N19" s="176">
        <v>0</v>
      </c>
      <c r="O19" s="176">
        <v>0</v>
      </c>
      <c r="P19" s="178">
        <f t="shared" si="8"/>
        <v>1</v>
      </c>
    </row>
    <row r="20" spans="1:16" ht="18" customHeight="1" x14ac:dyDescent="0.25">
      <c r="A20" s="252" t="str">
        <f>ORÇAMENTO!A23</f>
        <v>3.2</v>
      </c>
      <c r="B20" s="247" t="str">
        <f>ORÇAMENTO!D23</f>
        <v>TESTE DE FUNCIONAMENTO DE TODOS OS APARELHOS SANITÁRIOS (METAIS E LOUÇAS) - COM EMISSÃO DE RELATÓRIO</v>
      </c>
      <c r="C20" s="183">
        <f>ORÇAMENTO!L23</f>
        <v>0</v>
      </c>
      <c r="D20" s="184">
        <f>$C20*D21</f>
        <v>0</v>
      </c>
      <c r="E20" s="184">
        <f t="shared" ref="E20:O20" si="10">$C20*E21</f>
        <v>0</v>
      </c>
      <c r="F20" s="184">
        <f t="shared" si="10"/>
        <v>0</v>
      </c>
      <c r="G20" s="184">
        <f t="shared" si="10"/>
        <v>0</v>
      </c>
      <c r="H20" s="184">
        <f t="shared" si="10"/>
        <v>0</v>
      </c>
      <c r="I20" s="184">
        <f t="shared" si="10"/>
        <v>0</v>
      </c>
      <c r="J20" s="184">
        <f t="shared" si="10"/>
        <v>0</v>
      </c>
      <c r="K20" s="184">
        <f t="shared" si="10"/>
        <v>0</v>
      </c>
      <c r="L20" s="184">
        <f t="shared" si="10"/>
        <v>0</v>
      </c>
      <c r="M20" s="184">
        <f t="shared" si="10"/>
        <v>0</v>
      </c>
      <c r="N20" s="184">
        <f t="shared" si="10"/>
        <v>0</v>
      </c>
      <c r="O20" s="184">
        <f t="shared" si="10"/>
        <v>0</v>
      </c>
      <c r="P20" s="145">
        <f>SUM(D20:O20)</f>
        <v>0</v>
      </c>
    </row>
    <row r="21" spans="1:16" ht="18" customHeight="1" thickBot="1" x14ac:dyDescent="0.3">
      <c r="A21" s="253"/>
      <c r="B21" s="248"/>
      <c r="C21" s="185" t="e">
        <f>C20/ORÇAMENTO!L$41</f>
        <v>#DIV/0!</v>
      </c>
      <c r="D21" s="188">
        <v>0</v>
      </c>
      <c r="E21" s="188">
        <v>0</v>
      </c>
      <c r="F21" s="188">
        <v>0</v>
      </c>
      <c r="G21" s="188">
        <v>0</v>
      </c>
      <c r="H21" s="188">
        <v>0</v>
      </c>
      <c r="I21" s="188">
        <v>0</v>
      </c>
      <c r="J21" s="188">
        <v>0</v>
      </c>
      <c r="K21" s="188">
        <v>0</v>
      </c>
      <c r="L21" s="188">
        <v>0</v>
      </c>
      <c r="M21" s="188">
        <v>0</v>
      </c>
      <c r="N21" s="188">
        <v>1</v>
      </c>
      <c r="O21" s="188">
        <v>0</v>
      </c>
      <c r="P21" s="189">
        <f t="shared" ref="P21" si="11">SUM(D21:O21)</f>
        <v>1</v>
      </c>
    </row>
    <row r="22" spans="1:16" ht="18" customHeight="1" x14ac:dyDescent="0.25">
      <c r="A22" s="256" t="str">
        <f>ORÇAMENTO!A24</f>
        <v>3.3</v>
      </c>
      <c r="B22" s="249" t="str">
        <f>ORÇAMENTO!D24</f>
        <v>TESTE DE FUNCIONAMENTO DE TODOS OS APARELHOS DE CLIMATIZAÇÃO E RENOVAÇÃO DE AR - COM EMISSÃO DE RELATÓRIO</v>
      </c>
      <c r="C22" s="181">
        <f>ORÇAMENTO!L24</f>
        <v>0</v>
      </c>
      <c r="D22" s="182">
        <f>$C22*D23</f>
        <v>0</v>
      </c>
      <c r="E22" s="182">
        <f t="shared" ref="E22:O22" si="12">$C22*E23</f>
        <v>0</v>
      </c>
      <c r="F22" s="182">
        <f t="shared" si="12"/>
        <v>0</v>
      </c>
      <c r="G22" s="182">
        <f t="shared" si="12"/>
        <v>0</v>
      </c>
      <c r="H22" s="182">
        <f t="shared" si="12"/>
        <v>0</v>
      </c>
      <c r="I22" s="182">
        <f t="shared" si="12"/>
        <v>0</v>
      </c>
      <c r="J22" s="182">
        <f t="shared" si="12"/>
        <v>0</v>
      </c>
      <c r="K22" s="182">
        <f t="shared" si="12"/>
        <v>0</v>
      </c>
      <c r="L22" s="182">
        <f t="shared" si="12"/>
        <v>0</v>
      </c>
      <c r="M22" s="182">
        <f t="shared" si="12"/>
        <v>0</v>
      </c>
      <c r="N22" s="182">
        <f t="shared" si="12"/>
        <v>0</v>
      </c>
      <c r="O22" s="182">
        <f t="shared" si="12"/>
        <v>0</v>
      </c>
      <c r="P22" s="146">
        <f t="shared" si="8"/>
        <v>0</v>
      </c>
    </row>
    <row r="23" spans="1:16" ht="18" customHeight="1" thickBot="1" x14ac:dyDescent="0.3">
      <c r="A23" s="256"/>
      <c r="B23" s="249"/>
      <c r="C23" s="175" t="e">
        <f>C22/ORÇAMENTO!L$41</f>
        <v>#DIV/0!</v>
      </c>
      <c r="D23" s="176">
        <v>0</v>
      </c>
      <c r="E23" s="176">
        <v>0</v>
      </c>
      <c r="F23" s="176">
        <v>0</v>
      </c>
      <c r="G23" s="176">
        <v>0</v>
      </c>
      <c r="H23" s="176">
        <v>0</v>
      </c>
      <c r="I23" s="176">
        <v>0</v>
      </c>
      <c r="J23" s="176">
        <v>0</v>
      </c>
      <c r="K23" s="176">
        <v>0</v>
      </c>
      <c r="L23" s="176">
        <v>0</v>
      </c>
      <c r="M23" s="176">
        <v>0</v>
      </c>
      <c r="N23" s="176">
        <v>1</v>
      </c>
      <c r="O23" s="176">
        <v>0</v>
      </c>
      <c r="P23" s="179">
        <f t="shared" si="8"/>
        <v>1</v>
      </c>
    </row>
    <row r="24" spans="1:16" ht="18" customHeight="1" x14ac:dyDescent="0.25">
      <c r="A24" s="252" t="str">
        <f>ORÇAMENTO!A25</f>
        <v>3.4</v>
      </c>
      <c r="B24" s="247" t="str">
        <f>ORÇAMENTO!D25</f>
        <v>ENSAIO DE TERMOGRAFIA EM QUADROS ELÉTRICOS - COM EMISSÃO DE RELATÓRIO</v>
      </c>
      <c r="C24" s="190">
        <f>ORÇAMENTO!L25</f>
        <v>0</v>
      </c>
      <c r="D24" s="184">
        <f>$C24*D25</f>
        <v>0</v>
      </c>
      <c r="E24" s="184">
        <f t="shared" ref="E24:O24" si="13">$C24*E25</f>
        <v>0</v>
      </c>
      <c r="F24" s="184">
        <f t="shared" si="13"/>
        <v>0</v>
      </c>
      <c r="G24" s="184">
        <f t="shared" si="13"/>
        <v>0</v>
      </c>
      <c r="H24" s="184">
        <f t="shared" si="13"/>
        <v>0</v>
      </c>
      <c r="I24" s="184">
        <f t="shared" si="13"/>
        <v>0</v>
      </c>
      <c r="J24" s="184">
        <f t="shared" si="13"/>
        <v>0</v>
      </c>
      <c r="K24" s="184">
        <f t="shared" si="13"/>
        <v>0</v>
      </c>
      <c r="L24" s="184">
        <f t="shared" si="13"/>
        <v>0</v>
      </c>
      <c r="M24" s="184">
        <f t="shared" si="13"/>
        <v>0</v>
      </c>
      <c r="N24" s="184">
        <f t="shared" si="13"/>
        <v>0</v>
      </c>
      <c r="O24" s="184">
        <f t="shared" si="13"/>
        <v>0</v>
      </c>
      <c r="P24" s="145">
        <f t="shared" si="8"/>
        <v>0</v>
      </c>
    </row>
    <row r="25" spans="1:16" ht="18" customHeight="1" thickBot="1" x14ac:dyDescent="0.3">
      <c r="A25" s="253"/>
      <c r="B25" s="248"/>
      <c r="C25" s="185" t="e">
        <f>C24/ORÇAMENTO!L$41</f>
        <v>#DIV/0!</v>
      </c>
      <c r="D25" s="186">
        <v>0</v>
      </c>
      <c r="E25" s="186">
        <v>0</v>
      </c>
      <c r="F25" s="186">
        <v>0</v>
      </c>
      <c r="G25" s="186">
        <v>0</v>
      </c>
      <c r="H25" s="186">
        <v>0</v>
      </c>
      <c r="I25" s="186">
        <v>0</v>
      </c>
      <c r="J25" s="186">
        <v>0</v>
      </c>
      <c r="K25" s="186">
        <v>0</v>
      </c>
      <c r="L25" s="186">
        <v>0</v>
      </c>
      <c r="M25" s="186">
        <v>1</v>
      </c>
      <c r="N25" s="186">
        <v>0</v>
      </c>
      <c r="O25" s="186">
        <v>0</v>
      </c>
      <c r="P25" s="191">
        <f t="shared" si="8"/>
        <v>1</v>
      </c>
    </row>
    <row r="26" spans="1:16" ht="21.95" customHeight="1" x14ac:dyDescent="0.25">
      <c r="A26" s="256" t="str">
        <f>ORÇAMENTO!A26</f>
        <v>3.5</v>
      </c>
      <c r="B26" s="249" t="str">
        <f>ORÇAMENTO!D26</f>
        <v>ENSAIO DE ADERÊNCIA DE SISTEMA DE PINTURA EM ESTRUTURA METÁLICA - NBR 11003 - COM EMISSÃO DE RELATÓRIO</v>
      </c>
      <c r="C26" s="181">
        <f>ORÇAMENTO!L26</f>
        <v>0</v>
      </c>
      <c r="D26" s="182">
        <f>$C26*D27</f>
        <v>0</v>
      </c>
      <c r="E26" s="182">
        <f t="shared" ref="E26:O26" si="14">$C26*E27</f>
        <v>0</v>
      </c>
      <c r="F26" s="182">
        <f t="shared" si="14"/>
        <v>0</v>
      </c>
      <c r="G26" s="182">
        <f t="shared" si="14"/>
        <v>0</v>
      </c>
      <c r="H26" s="182">
        <f t="shared" si="14"/>
        <v>0</v>
      </c>
      <c r="I26" s="182">
        <f t="shared" si="14"/>
        <v>0</v>
      </c>
      <c r="J26" s="182">
        <f t="shared" si="14"/>
        <v>0</v>
      </c>
      <c r="K26" s="182">
        <f t="shared" si="14"/>
        <v>0</v>
      </c>
      <c r="L26" s="182">
        <f t="shared" si="14"/>
        <v>0</v>
      </c>
      <c r="M26" s="182">
        <f t="shared" si="14"/>
        <v>0</v>
      </c>
      <c r="N26" s="182">
        <f t="shared" si="14"/>
        <v>0</v>
      </c>
      <c r="O26" s="182">
        <f t="shared" si="14"/>
        <v>0</v>
      </c>
      <c r="P26" s="146">
        <f t="shared" si="8"/>
        <v>0</v>
      </c>
    </row>
    <row r="27" spans="1:16" ht="21.95" customHeight="1" thickBot="1" x14ac:dyDescent="0.3">
      <c r="A27" s="256"/>
      <c r="B27" s="249"/>
      <c r="C27" s="175" t="e">
        <f>C26/ORÇAMENTO!L$41</f>
        <v>#DIV/0!</v>
      </c>
      <c r="D27" s="177">
        <v>0</v>
      </c>
      <c r="E27" s="176">
        <v>0</v>
      </c>
      <c r="F27" s="176">
        <v>0</v>
      </c>
      <c r="G27" s="176">
        <v>0</v>
      </c>
      <c r="H27" s="177">
        <v>1</v>
      </c>
      <c r="I27" s="176">
        <v>0</v>
      </c>
      <c r="J27" s="176">
        <v>0</v>
      </c>
      <c r="K27" s="176">
        <v>0</v>
      </c>
      <c r="L27" s="176">
        <v>0</v>
      </c>
      <c r="M27" s="176">
        <v>0</v>
      </c>
      <c r="N27" s="176">
        <v>0</v>
      </c>
      <c r="O27" s="176">
        <v>0</v>
      </c>
      <c r="P27" s="179">
        <f t="shared" si="8"/>
        <v>1</v>
      </c>
    </row>
    <row r="28" spans="1:16" ht="18" customHeight="1" x14ac:dyDescent="0.25">
      <c r="A28" s="252" t="str">
        <f>ORÇAMENTO!A29</f>
        <v>4.1</v>
      </c>
      <c r="B28" s="247" t="str">
        <f>ORÇAMENTO!D29</f>
        <v>RELATÓRIO ESPECÍFICO SOBRE O ACOMPANHAMENTO DA REALIZAÇÃO DOS ENSAIOS PIT EM ESTACAS</v>
      </c>
      <c r="C28" s="190">
        <f>ORÇAMENTO!L29</f>
        <v>0</v>
      </c>
      <c r="D28" s="184">
        <f>$C28*D29</f>
        <v>0</v>
      </c>
      <c r="E28" s="184">
        <f t="shared" ref="E28:O28" si="15">$C28*E29</f>
        <v>0</v>
      </c>
      <c r="F28" s="184">
        <f t="shared" si="15"/>
        <v>0</v>
      </c>
      <c r="G28" s="184">
        <f t="shared" si="15"/>
        <v>0</v>
      </c>
      <c r="H28" s="184">
        <f t="shared" si="15"/>
        <v>0</v>
      </c>
      <c r="I28" s="184">
        <f t="shared" si="15"/>
        <v>0</v>
      </c>
      <c r="J28" s="184">
        <f t="shared" si="15"/>
        <v>0</v>
      </c>
      <c r="K28" s="184">
        <f t="shared" si="15"/>
        <v>0</v>
      </c>
      <c r="L28" s="184">
        <f t="shared" si="15"/>
        <v>0</v>
      </c>
      <c r="M28" s="184">
        <f t="shared" si="15"/>
        <v>0</v>
      </c>
      <c r="N28" s="184">
        <f t="shared" si="15"/>
        <v>0</v>
      </c>
      <c r="O28" s="184">
        <f t="shared" si="15"/>
        <v>0</v>
      </c>
      <c r="P28" s="145">
        <f t="shared" si="8"/>
        <v>0</v>
      </c>
    </row>
    <row r="29" spans="1:16" ht="18" customHeight="1" thickBot="1" x14ac:dyDescent="0.3">
      <c r="A29" s="253"/>
      <c r="B29" s="248"/>
      <c r="C29" s="185" t="e">
        <f>C28/ORÇAMENTO!L$41</f>
        <v>#DIV/0!</v>
      </c>
      <c r="D29" s="188">
        <v>0</v>
      </c>
      <c r="E29" s="188">
        <v>0</v>
      </c>
      <c r="F29" s="188">
        <v>1</v>
      </c>
      <c r="G29" s="188">
        <v>0</v>
      </c>
      <c r="H29" s="188">
        <v>0</v>
      </c>
      <c r="I29" s="188">
        <v>0</v>
      </c>
      <c r="J29" s="188">
        <v>0</v>
      </c>
      <c r="K29" s="188">
        <v>0</v>
      </c>
      <c r="L29" s="188">
        <v>0</v>
      </c>
      <c r="M29" s="188">
        <v>0</v>
      </c>
      <c r="N29" s="188">
        <v>0</v>
      </c>
      <c r="O29" s="188">
        <v>0</v>
      </c>
      <c r="P29" s="191">
        <f t="shared" si="8"/>
        <v>1</v>
      </c>
    </row>
    <row r="30" spans="1:16" ht="18" customHeight="1" x14ac:dyDescent="0.25">
      <c r="A30" s="256" t="str">
        <f>ORÇAMENTO!A30</f>
        <v>4.2</v>
      </c>
      <c r="B30" s="249" t="str">
        <f>ORÇAMENTO!D30</f>
        <v>RELATÓRIO ESPECÍFICO SOBRE O ACOMPANHAMENTO DA REALIZAÇÃO DOS TESTES DE RESISTÊNCIA À COMPRESSÃO PARA CORPOS DE PROVA DE CONCRETO</v>
      </c>
      <c r="C30" s="181">
        <f>ORÇAMENTO!L30</f>
        <v>0</v>
      </c>
      <c r="D30" s="182">
        <f>$C30*D31</f>
        <v>0</v>
      </c>
      <c r="E30" s="182">
        <f t="shared" ref="E30:O30" si="16">$C30*E31</f>
        <v>0</v>
      </c>
      <c r="F30" s="182">
        <f t="shared" si="16"/>
        <v>0</v>
      </c>
      <c r="G30" s="182">
        <f t="shared" si="16"/>
        <v>0</v>
      </c>
      <c r="H30" s="182">
        <f t="shared" si="16"/>
        <v>0</v>
      </c>
      <c r="I30" s="182">
        <f t="shared" si="16"/>
        <v>0</v>
      </c>
      <c r="J30" s="182">
        <f t="shared" si="16"/>
        <v>0</v>
      </c>
      <c r="K30" s="182">
        <f t="shared" si="16"/>
        <v>0</v>
      </c>
      <c r="L30" s="182">
        <f t="shared" si="16"/>
        <v>0</v>
      </c>
      <c r="M30" s="182">
        <f t="shared" si="16"/>
        <v>0</v>
      </c>
      <c r="N30" s="182">
        <f t="shared" si="16"/>
        <v>0</v>
      </c>
      <c r="O30" s="182">
        <f t="shared" si="16"/>
        <v>0</v>
      </c>
      <c r="P30" s="146">
        <f t="shared" si="8"/>
        <v>0</v>
      </c>
    </row>
    <row r="31" spans="1:16" ht="18" customHeight="1" thickBot="1" x14ac:dyDescent="0.3">
      <c r="A31" s="256"/>
      <c r="B31" s="249"/>
      <c r="C31" s="175" t="e">
        <f>C30/ORÇAMENTO!L$41</f>
        <v>#DIV/0!</v>
      </c>
      <c r="D31" s="176">
        <v>0</v>
      </c>
      <c r="E31" s="176">
        <v>0</v>
      </c>
      <c r="F31" s="176">
        <v>0</v>
      </c>
      <c r="G31" s="176">
        <v>0</v>
      </c>
      <c r="H31" s="176">
        <v>1</v>
      </c>
      <c r="I31" s="176">
        <v>0</v>
      </c>
      <c r="J31" s="176">
        <v>0</v>
      </c>
      <c r="K31" s="176">
        <v>0</v>
      </c>
      <c r="L31" s="176">
        <v>0</v>
      </c>
      <c r="M31" s="176">
        <v>0</v>
      </c>
      <c r="N31" s="176">
        <v>0</v>
      </c>
      <c r="O31" s="176">
        <v>0</v>
      </c>
      <c r="P31" s="180">
        <f t="shared" si="8"/>
        <v>1</v>
      </c>
    </row>
    <row r="32" spans="1:16" ht="18" customHeight="1" x14ac:dyDescent="0.25">
      <c r="A32" s="252" t="str">
        <f>ORÇAMENTO!A31</f>
        <v>4.3</v>
      </c>
      <c r="B32" s="247" t="str">
        <f>ORÇAMENTO!D31</f>
        <v>RELATÓRIO ESPECÍFICO SOBRE O ACOMPANHAMENTO DA REALIZAÇÃO DOS ENSAIOS DE ARRANCAMENTO DE ARGAMASSA</v>
      </c>
      <c r="C32" s="190">
        <f>ORÇAMENTO!L31</f>
        <v>0</v>
      </c>
      <c r="D32" s="184">
        <f>$C32*D33</f>
        <v>0</v>
      </c>
      <c r="E32" s="184">
        <f t="shared" ref="E32:O32" si="17">$C32*E33</f>
        <v>0</v>
      </c>
      <c r="F32" s="184">
        <f t="shared" si="17"/>
        <v>0</v>
      </c>
      <c r="G32" s="184">
        <f t="shared" si="17"/>
        <v>0</v>
      </c>
      <c r="H32" s="184">
        <f t="shared" si="17"/>
        <v>0</v>
      </c>
      <c r="I32" s="184">
        <f t="shared" si="17"/>
        <v>0</v>
      </c>
      <c r="J32" s="184">
        <f t="shared" si="17"/>
        <v>0</v>
      </c>
      <c r="K32" s="184">
        <f t="shared" si="17"/>
        <v>0</v>
      </c>
      <c r="L32" s="184">
        <f t="shared" si="17"/>
        <v>0</v>
      </c>
      <c r="M32" s="184">
        <f t="shared" si="17"/>
        <v>0</v>
      </c>
      <c r="N32" s="184">
        <f t="shared" si="17"/>
        <v>0</v>
      </c>
      <c r="O32" s="184">
        <f t="shared" si="17"/>
        <v>0</v>
      </c>
      <c r="P32" s="145">
        <f t="shared" si="8"/>
        <v>0</v>
      </c>
    </row>
    <row r="33" spans="1:16" ht="18" customHeight="1" thickBot="1" x14ac:dyDescent="0.3">
      <c r="A33" s="253"/>
      <c r="B33" s="248"/>
      <c r="C33" s="185" t="e">
        <f>C32/ORÇAMENTO!L$41</f>
        <v>#DIV/0!</v>
      </c>
      <c r="D33" s="188">
        <v>0</v>
      </c>
      <c r="E33" s="188">
        <v>0</v>
      </c>
      <c r="F33" s="188">
        <v>0</v>
      </c>
      <c r="G33" s="188">
        <v>0</v>
      </c>
      <c r="H33" s="188">
        <v>0.5</v>
      </c>
      <c r="I33" s="188">
        <v>0</v>
      </c>
      <c r="J33" s="188">
        <v>0.5</v>
      </c>
      <c r="K33" s="188">
        <v>0</v>
      </c>
      <c r="L33" s="188">
        <v>0</v>
      </c>
      <c r="M33" s="188">
        <v>0</v>
      </c>
      <c r="N33" s="188">
        <v>0</v>
      </c>
      <c r="O33" s="188">
        <v>0</v>
      </c>
      <c r="P33" s="191">
        <f t="shared" si="8"/>
        <v>1</v>
      </c>
    </row>
    <row r="34" spans="1:16" ht="18" customHeight="1" x14ac:dyDescent="0.25">
      <c r="A34" s="256" t="str">
        <f>ORÇAMENTO!A34</f>
        <v>5.1</v>
      </c>
      <c r="B34" s="249" t="str">
        <f>ORÇAMENTO!D34</f>
        <v>ELABORAÇÃO DE LAUDO DE SISTEMA LUMINOTÉCNICO (SISTEMA DE ILUMINAÇÃO DE EMERGÊNCIA) - CONFORME CBM-SC</v>
      </c>
      <c r="C34" s="181">
        <f>ORÇAMENTO!L34</f>
        <v>0</v>
      </c>
      <c r="D34" s="182">
        <f>$C34*D35</f>
        <v>0</v>
      </c>
      <c r="E34" s="182">
        <f t="shared" ref="E34:O34" si="18">$C34*E35</f>
        <v>0</v>
      </c>
      <c r="F34" s="182">
        <f t="shared" si="18"/>
        <v>0</v>
      </c>
      <c r="G34" s="182">
        <f t="shared" si="18"/>
        <v>0</v>
      </c>
      <c r="H34" s="182">
        <f t="shared" si="18"/>
        <v>0</v>
      </c>
      <c r="I34" s="182">
        <f t="shared" si="18"/>
        <v>0</v>
      </c>
      <c r="J34" s="182">
        <f t="shared" si="18"/>
        <v>0</v>
      </c>
      <c r="K34" s="182">
        <f t="shared" si="18"/>
        <v>0</v>
      </c>
      <c r="L34" s="182">
        <f t="shared" si="18"/>
        <v>0</v>
      </c>
      <c r="M34" s="182">
        <f t="shared" si="18"/>
        <v>0</v>
      </c>
      <c r="N34" s="182">
        <f t="shared" si="18"/>
        <v>0</v>
      </c>
      <c r="O34" s="182">
        <f t="shared" si="18"/>
        <v>0</v>
      </c>
      <c r="P34" s="146">
        <f t="shared" si="8"/>
        <v>0</v>
      </c>
    </row>
    <row r="35" spans="1:16" ht="18" customHeight="1" thickBot="1" x14ac:dyDescent="0.3">
      <c r="A35" s="256"/>
      <c r="B35" s="249"/>
      <c r="C35" s="175" t="e">
        <f>C34/ORÇAMENTO!L$41</f>
        <v>#DIV/0!</v>
      </c>
      <c r="D35" s="177">
        <v>0</v>
      </c>
      <c r="E35" s="177">
        <v>0</v>
      </c>
      <c r="F35" s="177">
        <v>0</v>
      </c>
      <c r="G35" s="177">
        <v>0</v>
      </c>
      <c r="H35" s="177">
        <v>0</v>
      </c>
      <c r="I35" s="177">
        <v>0</v>
      </c>
      <c r="J35" s="177">
        <v>0</v>
      </c>
      <c r="K35" s="177">
        <v>0</v>
      </c>
      <c r="L35" s="177">
        <v>0</v>
      </c>
      <c r="M35" s="177">
        <v>0</v>
      </c>
      <c r="N35" s="177">
        <v>1</v>
      </c>
      <c r="O35" s="177">
        <v>0</v>
      </c>
      <c r="P35" s="180">
        <f t="shared" si="8"/>
        <v>1</v>
      </c>
    </row>
    <row r="36" spans="1:16" ht="21.95" customHeight="1" x14ac:dyDescent="0.25">
      <c r="A36" s="252" t="str">
        <f>ORÇAMENTO!A35</f>
        <v>5.2</v>
      </c>
      <c r="B36" s="247" t="str">
        <f>ORÇAMENTO!D35</f>
        <v>ELABORAÇÃO DE LAUDO DE MEDIÇÃO DE SONORIDADE DE SISTEMA DE ALARME DE INCÊNDIO ) - CONFORME CBM-SC</v>
      </c>
      <c r="C36" s="190">
        <f>ORÇAMENTO!L35</f>
        <v>0</v>
      </c>
      <c r="D36" s="184">
        <f>$C36*D37</f>
        <v>0</v>
      </c>
      <c r="E36" s="184">
        <f t="shared" ref="E36:O36" si="19">$C36*E37</f>
        <v>0</v>
      </c>
      <c r="F36" s="184">
        <f t="shared" si="19"/>
        <v>0</v>
      </c>
      <c r="G36" s="184">
        <f t="shared" si="19"/>
        <v>0</v>
      </c>
      <c r="H36" s="184">
        <f t="shared" si="19"/>
        <v>0</v>
      </c>
      <c r="I36" s="184">
        <f t="shared" si="19"/>
        <v>0</v>
      </c>
      <c r="J36" s="184">
        <f t="shared" si="19"/>
        <v>0</v>
      </c>
      <c r="K36" s="184">
        <f t="shared" si="19"/>
        <v>0</v>
      </c>
      <c r="L36" s="184">
        <f t="shared" si="19"/>
        <v>0</v>
      </c>
      <c r="M36" s="184">
        <f t="shared" si="19"/>
        <v>0</v>
      </c>
      <c r="N36" s="184">
        <f t="shared" si="19"/>
        <v>0</v>
      </c>
      <c r="O36" s="184">
        <f t="shared" si="19"/>
        <v>0</v>
      </c>
      <c r="P36" s="145">
        <f t="shared" si="8"/>
        <v>0</v>
      </c>
    </row>
    <row r="37" spans="1:16" ht="21.95" customHeight="1" thickBot="1" x14ac:dyDescent="0.3">
      <c r="A37" s="253"/>
      <c r="B37" s="248"/>
      <c r="C37" s="185" t="e">
        <f>C36/ORÇAMENTO!L$41</f>
        <v>#DIV/0!</v>
      </c>
      <c r="D37" s="186">
        <v>0</v>
      </c>
      <c r="E37" s="186">
        <v>0</v>
      </c>
      <c r="F37" s="186">
        <v>0</v>
      </c>
      <c r="G37" s="186">
        <v>0</v>
      </c>
      <c r="H37" s="186">
        <v>0</v>
      </c>
      <c r="I37" s="186">
        <v>0</v>
      </c>
      <c r="J37" s="186">
        <v>0</v>
      </c>
      <c r="K37" s="186">
        <v>0</v>
      </c>
      <c r="L37" s="186">
        <v>0</v>
      </c>
      <c r="M37" s="186">
        <v>0</v>
      </c>
      <c r="N37" s="186">
        <v>1</v>
      </c>
      <c r="O37" s="186">
        <v>0</v>
      </c>
      <c r="P37" s="191">
        <f t="shared" si="8"/>
        <v>1</v>
      </c>
    </row>
    <row r="38" spans="1:16" ht="21.95" customHeight="1" x14ac:dyDescent="0.25">
      <c r="A38" s="256" t="str">
        <f>ORÇAMENTO!A36</f>
        <v>5.3</v>
      </c>
      <c r="B38" s="249" t="str">
        <f>ORÇAMENTO!D36</f>
        <v>ELABORAÇÃO DE LAUDO DE INSTALAÇÕES ELÉTRICAS DE BAIXA TENSÃO) - CONFORME CBM-SC</v>
      </c>
      <c r="C38" s="181">
        <f>ORÇAMENTO!L36</f>
        <v>0</v>
      </c>
      <c r="D38" s="182">
        <f>$C38*D39</f>
        <v>0</v>
      </c>
      <c r="E38" s="182">
        <f t="shared" ref="E38:O38" si="20">$C38*E39</f>
        <v>0</v>
      </c>
      <c r="F38" s="182">
        <f t="shared" si="20"/>
        <v>0</v>
      </c>
      <c r="G38" s="182">
        <f t="shared" si="20"/>
        <v>0</v>
      </c>
      <c r="H38" s="182">
        <f t="shared" si="20"/>
        <v>0</v>
      </c>
      <c r="I38" s="182">
        <f t="shared" si="20"/>
        <v>0</v>
      </c>
      <c r="J38" s="182">
        <f t="shared" si="20"/>
        <v>0</v>
      </c>
      <c r="K38" s="182">
        <f t="shared" si="20"/>
        <v>0</v>
      </c>
      <c r="L38" s="182">
        <f t="shared" si="20"/>
        <v>0</v>
      </c>
      <c r="M38" s="182">
        <f t="shared" si="20"/>
        <v>0</v>
      </c>
      <c r="N38" s="182">
        <f t="shared" si="20"/>
        <v>0</v>
      </c>
      <c r="O38" s="182">
        <f t="shared" si="20"/>
        <v>0</v>
      </c>
      <c r="P38" s="146">
        <f t="shared" si="8"/>
        <v>0</v>
      </c>
    </row>
    <row r="39" spans="1:16" ht="21.95" customHeight="1" thickBot="1" x14ac:dyDescent="0.3">
      <c r="A39" s="256"/>
      <c r="B39" s="249"/>
      <c r="C39" s="175" t="e">
        <f>C38/ORÇAMENTO!L$41</f>
        <v>#DIV/0!</v>
      </c>
      <c r="D39" s="176">
        <v>0</v>
      </c>
      <c r="E39" s="176">
        <v>0</v>
      </c>
      <c r="F39" s="176">
        <v>0</v>
      </c>
      <c r="G39" s="176">
        <v>0</v>
      </c>
      <c r="H39" s="176">
        <v>0</v>
      </c>
      <c r="I39" s="176">
        <v>0</v>
      </c>
      <c r="J39" s="176">
        <v>0</v>
      </c>
      <c r="K39" s="176">
        <v>0</v>
      </c>
      <c r="L39" s="176">
        <v>0</v>
      </c>
      <c r="M39" s="176">
        <v>0</v>
      </c>
      <c r="N39" s="176">
        <v>1</v>
      </c>
      <c r="O39" s="176">
        <v>0</v>
      </c>
      <c r="P39" s="180">
        <f t="shared" si="8"/>
        <v>1</v>
      </c>
    </row>
    <row r="40" spans="1:16" ht="21.95" customHeight="1" x14ac:dyDescent="0.25">
      <c r="A40" s="252" t="str">
        <f>ORÇAMENTO!A37</f>
        <v>5.4</v>
      </c>
      <c r="B40" s="247" t="str">
        <f>ORÇAMENTO!D37</f>
        <v>ANOTAÇÃO DE RESPONSABILIDADE TÉCNICA - ELABORAÇÃO DE LAUDOS DE SISTEMAS PREVENTIVOS DE INCÊNDIO</v>
      </c>
      <c r="C40" s="190">
        <f>ORÇAMENTO!L37</f>
        <v>0</v>
      </c>
      <c r="D40" s="184">
        <f>$C40*D41</f>
        <v>0</v>
      </c>
      <c r="E40" s="184">
        <f t="shared" ref="E40:O40" si="21">$C40*E41</f>
        <v>0</v>
      </c>
      <c r="F40" s="184">
        <f t="shared" si="21"/>
        <v>0</v>
      </c>
      <c r="G40" s="184">
        <f t="shared" si="21"/>
        <v>0</v>
      </c>
      <c r="H40" s="184">
        <f t="shared" si="21"/>
        <v>0</v>
      </c>
      <c r="I40" s="184">
        <f t="shared" si="21"/>
        <v>0</v>
      </c>
      <c r="J40" s="184">
        <f t="shared" si="21"/>
        <v>0</v>
      </c>
      <c r="K40" s="184">
        <f t="shared" si="21"/>
        <v>0</v>
      </c>
      <c r="L40" s="184">
        <f t="shared" si="21"/>
        <v>0</v>
      </c>
      <c r="M40" s="184">
        <f t="shared" si="21"/>
        <v>0</v>
      </c>
      <c r="N40" s="184">
        <f t="shared" si="21"/>
        <v>0</v>
      </c>
      <c r="O40" s="184">
        <f t="shared" si="21"/>
        <v>0</v>
      </c>
      <c r="P40" s="145">
        <f t="shared" si="8"/>
        <v>0</v>
      </c>
    </row>
    <row r="41" spans="1:16" ht="21.95" customHeight="1" thickBot="1" x14ac:dyDescent="0.3">
      <c r="A41" s="253"/>
      <c r="B41" s="248"/>
      <c r="C41" s="185" t="e">
        <f>C40/ORÇAMENTO!L$41</f>
        <v>#DIV/0!</v>
      </c>
      <c r="D41" s="186">
        <v>0</v>
      </c>
      <c r="E41" s="186">
        <v>0</v>
      </c>
      <c r="F41" s="186">
        <v>0</v>
      </c>
      <c r="G41" s="186">
        <v>0</v>
      </c>
      <c r="H41" s="186">
        <v>0</v>
      </c>
      <c r="I41" s="186">
        <v>0</v>
      </c>
      <c r="J41" s="186">
        <v>0</v>
      </c>
      <c r="K41" s="186">
        <v>0</v>
      </c>
      <c r="L41" s="186">
        <v>0</v>
      </c>
      <c r="M41" s="186">
        <v>0</v>
      </c>
      <c r="N41" s="186">
        <v>1</v>
      </c>
      <c r="O41" s="186">
        <v>0</v>
      </c>
      <c r="P41" s="191">
        <f t="shared" si="8"/>
        <v>1</v>
      </c>
    </row>
    <row r="42" spans="1:16" ht="18" customHeight="1" x14ac:dyDescent="0.25">
      <c r="A42" s="254" t="str">
        <f>ORÇAMENTO!A40</f>
        <v>6.1</v>
      </c>
      <c r="B42" s="250" t="str">
        <f>ORÇAMENTO!D40</f>
        <v>ELABORAÇÃO DE RELATÓRIOS DE RECEBIMENTO PROVISÓRIO E DEFINITIVO - ENGENHEIRO CIVIL</v>
      </c>
      <c r="C42" s="226">
        <f>ORÇAMENTO!L40</f>
        <v>0</v>
      </c>
      <c r="D42" s="184">
        <f>$C42*D43</f>
        <v>0</v>
      </c>
      <c r="E42" s="184">
        <f t="shared" ref="E42:O42" si="22">$C42*E43</f>
        <v>0</v>
      </c>
      <c r="F42" s="184">
        <f t="shared" si="22"/>
        <v>0</v>
      </c>
      <c r="G42" s="184">
        <f t="shared" si="22"/>
        <v>0</v>
      </c>
      <c r="H42" s="184">
        <f t="shared" si="22"/>
        <v>0</v>
      </c>
      <c r="I42" s="184">
        <f t="shared" si="22"/>
        <v>0</v>
      </c>
      <c r="J42" s="184">
        <f t="shared" si="22"/>
        <v>0</v>
      </c>
      <c r="K42" s="184">
        <f t="shared" si="22"/>
        <v>0</v>
      </c>
      <c r="L42" s="184">
        <f t="shared" si="22"/>
        <v>0</v>
      </c>
      <c r="M42" s="184">
        <f t="shared" si="22"/>
        <v>0</v>
      </c>
      <c r="N42" s="184">
        <f t="shared" si="22"/>
        <v>0</v>
      </c>
      <c r="O42" s="184">
        <f t="shared" si="22"/>
        <v>0</v>
      </c>
      <c r="P42" s="227">
        <f t="shared" si="8"/>
        <v>0</v>
      </c>
    </row>
    <row r="43" spans="1:16" ht="18" customHeight="1" thickBot="1" x14ac:dyDescent="0.3">
      <c r="A43" s="255"/>
      <c r="B43" s="251"/>
      <c r="C43" s="175" t="e">
        <f>C42/ORÇAMENTO!L$41</f>
        <v>#DIV/0!</v>
      </c>
      <c r="D43" s="186">
        <v>0</v>
      </c>
      <c r="E43" s="186">
        <v>0</v>
      </c>
      <c r="F43" s="186">
        <v>0</v>
      </c>
      <c r="G43" s="186">
        <v>0</v>
      </c>
      <c r="H43" s="186">
        <v>0</v>
      </c>
      <c r="I43" s="186">
        <v>0</v>
      </c>
      <c r="J43" s="186">
        <v>0</v>
      </c>
      <c r="K43" s="186">
        <v>0</v>
      </c>
      <c r="L43" s="186">
        <v>0</v>
      </c>
      <c r="M43" s="186">
        <v>0</v>
      </c>
      <c r="N43" s="186">
        <v>0</v>
      </c>
      <c r="O43" s="186">
        <v>1</v>
      </c>
      <c r="P43" s="228">
        <f t="shared" si="8"/>
        <v>1</v>
      </c>
    </row>
    <row r="44" spans="1:16" ht="15.75" thickBot="1" x14ac:dyDescent="0.3">
      <c r="A44" s="258" t="s">
        <v>180</v>
      </c>
      <c r="B44" s="260">
        <f>C8+C10+C12+C14+C16+C18+C20+C22+C24+C26+C28+C30+C32+C34+C36+C38+C40+C42</f>
        <v>0</v>
      </c>
      <c r="C44" s="141" t="s">
        <v>170</v>
      </c>
      <c r="D44" s="142">
        <f>D8+D10+D12+D14+D16+D18+D20+D22+D24+D26+D28+D30+D32+D34+D36+D38+D40+D42</f>
        <v>0</v>
      </c>
      <c r="E44" s="142">
        <f>E8+E10+E12+E14+E16+E18+E20+E22+E24+E26+E28+E30+E32+E34+E36+E38+E40+E42</f>
        <v>0</v>
      </c>
      <c r="F44" s="142">
        <f t="shared" ref="F44:N44" si="23">F8+F10+F12+F14+F16+F18+F20+F22+F24+F26+F28+F30+F32+F34+F36+F38+F40+F42</f>
        <v>0</v>
      </c>
      <c r="G44" s="142">
        <f t="shared" si="23"/>
        <v>0</v>
      </c>
      <c r="H44" s="142">
        <f t="shared" si="23"/>
        <v>0</v>
      </c>
      <c r="I44" s="142">
        <f t="shared" si="23"/>
        <v>0</v>
      </c>
      <c r="J44" s="142">
        <f t="shared" si="23"/>
        <v>0</v>
      </c>
      <c r="K44" s="142">
        <f t="shared" si="23"/>
        <v>0</v>
      </c>
      <c r="L44" s="142">
        <f t="shared" si="23"/>
        <v>0</v>
      </c>
      <c r="M44" s="142">
        <f t="shared" si="23"/>
        <v>0</v>
      </c>
      <c r="N44" s="142">
        <f t="shared" si="23"/>
        <v>0</v>
      </c>
      <c r="O44" s="142">
        <f>O8+O10+O12+O14+O16+O18+O20+O22+O24+O26+O28+O30+O32+O34+O36+O38+O40+O42</f>
        <v>0</v>
      </c>
      <c r="P44" s="257">
        <f>P8+P10+P12+P14+P16+P18+P20+P22+P24+P26+P28+P30+P32+P34+P36+P38+P40+P42</f>
        <v>0</v>
      </c>
    </row>
    <row r="45" spans="1:16" ht="15.75" thickBot="1" x14ac:dyDescent="0.3">
      <c r="A45" s="259"/>
      <c r="B45" s="261"/>
      <c r="C45" s="143" t="s">
        <v>202</v>
      </c>
      <c r="D45" s="144" t="e">
        <f>D44/$B44</f>
        <v>#DIV/0!</v>
      </c>
      <c r="E45" s="147" t="e">
        <f t="shared" ref="E45:N45" si="24">E44/$B44</f>
        <v>#DIV/0!</v>
      </c>
      <c r="F45" s="144" t="e">
        <f t="shared" si="24"/>
        <v>#DIV/0!</v>
      </c>
      <c r="G45" s="147" t="e">
        <f t="shared" si="24"/>
        <v>#DIV/0!</v>
      </c>
      <c r="H45" s="144" t="e">
        <f t="shared" si="24"/>
        <v>#DIV/0!</v>
      </c>
      <c r="I45" s="147" t="e">
        <f t="shared" si="24"/>
        <v>#DIV/0!</v>
      </c>
      <c r="J45" s="144" t="e">
        <f t="shared" si="24"/>
        <v>#DIV/0!</v>
      </c>
      <c r="K45" s="147" t="e">
        <f t="shared" si="24"/>
        <v>#DIV/0!</v>
      </c>
      <c r="L45" s="144" t="e">
        <f t="shared" si="24"/>
        <v>#DIV/0!</v>
      </c>
      <c r="M45" s="147" t="e">
        <f t="shared" si="24"/>
        <v>#DIV/0!</v>
      </c>
      <c r="N45" s="144" t="e">
        <f t="shared" si="24"/>
        <v>#DIV/0!</v>
      </c>
      <c r="O45" s="147" t="e">
        <f>O44/$B44</f>
        <v>#DIV/0!</v>
      </c>
      <c r="P45" s="257"/>
    </row>
    <row r="47" spans="1:16" x14ac:dyDescent="0.25">
      <c r="D47" s="148" t="e">
        <f>D45</f>
        <v>#DIV/0!</v>
      </c>
      <c r="E47" s="148" t="e">
        <f t="shared" ref="E47:J47" si="25">D47+E45</f>
        <v>#DIV/0!</v>
      </c>
      <c r="F47" s="148" t="e">
        <f t="shared" si="25"/>
        <v>#DIV/0!</v>
      </c>
      <c r="G47" s="148" t="e">
        <f t="shared" si="25"/>
        <v>#DIV/0!</v>
      </c>
      <c r="H47" s="148" t="e">
        <f t="shared" si="25"/>
        <v>#DIV/0!</v>
      </c>
      <c r="I47" s="148" t="e">
        <f t="shared" si="25"/>
        <v>#DIV/0!</v>
      </c>
      <c r="J47" s="148" t="e">
        <f t="shared" si="25"/>
        <v>#DIV/0!</v>
      </c>
      <c r="K47" s="148" t="e">
        <f t="shared" ref="K47:O47" si="26">J47+K45</f>
        <v>#DIV/0!</v>
      </c>
      <c r="L47" s="148" t="e">
        <f t="shared" si="26"/>
        <v>#DIV/0!</v>
      </c>
      <c r="M47" s="148" t="e">
        <f t="shared" si="26"/>
        <v>#DIV/0!</v>
      </c>
      <c r="N47" s="148" t="e">
        <f t="shared" si="26"/>
        <v>#DIV/0!</v>
      </c>
      <c r="O47" s="148" t="e">
        <f t="shared" si="26"/>
        <v>#DIV/0!</v>
      </c>
    </row>
    <row r="48" spans="1:16" x14ac:dyDescent="0.25">
      <c r="G48" s="222"/>
      <c r="H48" s="222"/>
    </row>
  </sheetData>
  <mergeCells count="57">
    <mergeCell ref="N6:N7"/>
    <mergeCell ref="O6:O7"/>
    <mergeCell ref="A1:B5"/>
    <mergeCell ref="C1:P1"/>
    <mergeCell ref="A6:A7"/>
    <mergeCell ref="B6:B7"/>
    <mergeCell ref="C6:C7"/>
    <mergeCell ref="P6:P7"/>
    <mergeCell ref="D6:D7"/>
    <mergeCell ref="E6:E7"/>
    <mergeCell ref="F6:F7"/>
    <mergeCell ref="G6:G7"/>
    <mergeCell ref="H6:H7"/>
    <mergeCell ref="I6:I7"/>
    <mergeCell ref="J6:J7"/>
    <mergeCell ref="P44:P45"/>
    <mergeCell ref="A44:A45"/>
    <mergeCell ref="B44:B45"/>
    <mergeCell ref="K6:K7"/>
    <mergeCell ref="L6:L7"/>
    <mergeCell ref="A14:A15"/>
    <mergeCell ref="B14:B15"/>
    <mergeCell ref="A16:A17"/>
    <mergeCell ref="B16:B17"/>
    <mergeCell ref="A18:A19"/>
    <mergeCell ref="B18:B19"/>
    <mergeCell ref="A22:A23"/>
    <mergeCell ref="B22:B23"/>
    <mergeCell ref="A24:A25"/>
    <mergeCell ref="B24:B25"/>
    <mergeCell ref="M6:M7"/>
    <mergeCell ref="A8:A9"/>
    <mergeCell ref="A42:A43"/>
    <mergeCell ref="A40:A41"/>
    <mergeCell ref="A38:A39"/>
    <mergeCell ref="A36:A37"/>
    <mergeCell ref="A34:A35"/>
    <mergeCell ref="A32:A33"/>
    <mergeCell ref="A30:A31"/>
    <mergeCell ref="A28:A29"/>
    <mergeCell ref="A26:A27"/>
    <mergeCell ref="A12:A13"/>
    <mergeCell ref="A10:A11"/>
    <mergeCell ref="A20:A21"/>
    <mergeCell ref="B42:B43"/>
    <mergeCell ref="B8:B9"/>
    <mergeCell ref="B10:B11"/>
    <mergeCell ref="B12:B13"/>
    <mergeCell ref="B26:B27"/>
    <mergeCell ref="B28:B29"/>
    <mergeCell ref="B20:B21"/>
    <mergeCell ref="B32:B33"/>
    <mergeCell ref="B34:B35"/>
    <mergeCell ref="B30:B31"/>
    <mergeCell ref="B36:B37"/>
    <mergeCell ref="B40:B41"/>
    <mergeCell ref="B38:B39"/>
  </mergeCells>
  <conditionalFormatting sqref="D9:O9">
    <cfRule type="cellIs" dxfId="22" priority="38" operator="greaterThan">
      <formula>0</formula>
    </cfRule>
  </conditionalFormatting>
  <conditionalFormatting sqref="D13:O13">
    <cfRule type="cellIs" dxfId="21" priority="37" operator="greaterThan">
      <formula>0</formula>
    </cfRule>
  </conditionalFormatting>
  <conditionalFormatting sqref="D23:O23">
    <cfRule type="cellIs" dxfId="20" priority="35" operator="greaterThan">
      <formula>0</formula>
    </cfRule>
  </conditionalFormatting>
  <conditionalFormatting sqref="D27:O27">
    <cfRule type="cellIs" dxfId="19" priority="34" operator="greaterThan">
      <formula>0</formula>
    </cfRule>
  </conditionalFormatting>
  <conditionalFormatting sqref="D31:O31">
    <cfRule type="cellIs" dxfId="18" priority="33" operator="greaterThan">
      <formula>0</formula>
    </cfRule>
  </conditionalFormatting>
  <conditionalFormatting sqref="D35:O35">
    <cfRule type="cellIs" dxfId="17" priority="32" operator="greaterThan">
      <formula>0</formula>
    </cfRule>
  </conditionalFormatting>
  <conditionalFormatting sqref="D11:O11">
    <cfRule type="cellIs" dxfId="16" priority="20" operator="greaterThan">
      <formula>0</formula>
    </cfRule>
  </conditionalFormatting>
  <conditionalFormatting sqref="D43:O43">
    <cfRule type="cellIs" dxfId="15" priority="30" operator="greaterThan">
      <formula>0</formula>
    </cfRule>
  </conditionalFormatting>
  <conditionalFormatting sqref="N8:O8">
    <cfRule type="cellIs" dxfId="14" priority="23" operator="greaterThan">
      <formula>0</formula>
    </cfRule>
  </conditionalFormatting>
  <conditionalFormatting sqref="D19:O19">
    <cfRule type="cellIs" dxfId="13" priority="22" operator="greaterThan">
      <formula>0</formula>
    </cfRule>
  </conditionalFormatting>
  <conditionalFormatting sqref="D25:O25">
    <cfRule type="cellIs" dxfId="12" priority="21" operator="greaterThan">
      <formula>0</formula>
    </cfRule>
  </conditionalFormatting>
  <conditionalFormatting sqref="D15:O15">
    <cfRule type="cellIs" dxfId="11" priority="19" operator="greaterThan">
      <formula>0</formula>
    </cfRule>
  </conditionalFormatting>
  <conditionalFormatting sqref="D29:O29">
    <cfRule type="cellIs" dxfId="10" priority="18" operator="greaterThan">
      <formula>0</formula>
    </cfRule>
  </conditionalFormatting>
  <conditionalFormatting sqref="D33:O33">
    <cfRule type="cellIs" dxfId="9" priority="17" operator="greaterThan">
      <formula>0</formula>
    </cfRule>
  </conditionalFormatting>
  <conditionalFormatting sqref="D37:O37">
    <cfRule type="cellIs" dxfId="8" priority="16" operator="greaterThan">
      <formula>0</formula>
    </cfRule>
  </conditionalFormatting>
  <conditionalFormatting sqref="D39:O39">
    <cfRule type="cellIs" dxfId="7" priority="15" operator="greaterThan">
      <formula>0</formula>
    </cfRule>
  </conditionalFormatting>
  <conditionalFormatting sqref="D41:O41">
    <cfRule type="cellIs" dxfId="6" priority="14" operator="greaterThan">
      <formula>0</formula>
    </cfRule>
  </conditionalFormatting>
  <conditionalFormatting sqref="D21:O21">
    <cfRule type="cellIs" dxfId="5" priority="3" operator="greaterThan">
      <formula>0</formula>
    </cfRule>
  </conditionalFormatting>
  <conditionalFormatting sqref="P43 P41 P39 P37 P35 P33 P31 P29 P27 P25 P23 P21 P19 P17 P15 P13 P11 P9">
    <cfRule type="cellIs" dxfId="4" priority="2" operator="notEqual">
      <formula>1</formula>
    </cfRule>
  </conditionalFormatting>
  <conditionalFormatting sqref="D17:O17">
    <cfRule type="cellIs" dxfId="3" priority="1" operator="greaterThan">
      <formula>0</formula>
    </cfRule>
  </conditionalFormatting>
  <pageMargins left="0.26" right="0.3" top="0.45" bottom="0.78740157480314965" header="0.31496062992125984" footer="0.31496062992125984"/>
  <pageSetup paperSize="9" scale="49" fitToHeight="6" orientation="landscape" r:id="rId1"/>
  <ignoredErrors>
    <ignoredError sqref="D8:O8 D36:O36 D22:O22 D20:O20 C44 D12:O12 D43:K43 N43 E19:H19 D10:O10 D9:H9 J9 L9:O9 D18:O18 C13 C19 C35 C43 J19:N19 D24:O24 E23:M23 D26:O26 E25:L25 O23 O25 D38:O38 D37:H37 O37 J37:L37 D40:O42 D39:L39 O39 D44:P44 C8:C9" unlockedFormula="1"/>
    <ignoredError sqref="D28:O28 D15:O15 D32:O32 D31:G31 N31:O31 D16:O16 D13:O13 D14:O14 C14:C18 C20:C34 C36:C42 D17:O17 E27:G27 I27:O27 D30:O30 D34:O34 C10:C12" formula="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72"/>
  <sheetViews>
    <sheetView zoomScaleNormal="100" workbookViewId="0">
      <pane ySplit="3" topLeftCell="A4" activePane="bottomLeft" state="frozen"/>
      <selection pane="bottomLeft" activeCell="B10" sqref="B10"/>
    </sheetView>
  </sheetViews>
  <sheetFormatPr defaultRowHeight="15" x14ac:dyDescent="0.25"/>
  <cols>
    <col min="1" max="1" width="13.28515625" customWidth="1"/>
    <col min="2" max="2" width="55.140625" customWidth="1"/>
    <col min="3" max="3" width="20.28515625" customWidth="1"/>
    <col min="4" max="4" width="9.28515625" customWidth="1"/>
    <col min="5" max="5" width="10.5703125" bestFit="1" customWidth="1"/>
    <col min="6" max="6" width="12" customWidth="1"/>
    <col min="7" max="7" width="10" customWidth="1"/>
    <col min="8" max="8" width="11.5703125" customWidth="1"/>
    <col min="9" max="10" width="16.42578125" customWidth="1"/>
    <col min="12" max="12" width="10.140625" bestFit="1" customWidth="1"/>
    <col min="15" max="15" width="9.5703125" bestFit="1" customWidth="1"/>
    <col min="16" max="17" width="13.85546875" bestFit="1" customWidth="1"/>
    <col min="18" max="18" width="12.7109375" bestFit="1" customWidth="1"/>
  </cols>
  <sheetData>
    <row r="1" spans="1:17" x14ac:dyDescent="0.25">
      <c r="A1" s="278" t="s">
        <v>36</v>
      </c>
      <c r="B1" s="279"/>
      <c r="C1" s="279"/>
      <c r="D1" s="279"/>
      <c r="E1" s="279"/>
      <c r="F1" s="279"/>
      <c r="G1" s="279"/>
      <c r="H1" s="279"/>
      <c r="I1" s="279"/>
      <c r="J1" s="280"/>
    </row>
    <row r="2" spans="1:17" ht="15.75" thickBot="1" x14ac:dyDescent="0.3">
      <c r="A2" s="281"/>
      <c r="B2" s="282"/>
      <c r="C2" s="282"/>
      <c r="D2" s="282"/>
      <c r="E2" s="282"/>
      <c r="F2" s="282"/>
      <c r="G2" s="282"/>
      <c r="H2" s="282"/>
      <c r="I2" s="282"/>
      <c r="J2" s="283"/>
    </row>
    <row r="3" spans="1:17" ht="38.25" x14ac:dyDescent="0.25">
      <c r="A3" s="53" t="s">
        <v>37</v>
      </c>
      <c r="B3" s="54" t="s">
        <v>38</v>
      </c>
      <c r="C3" s="54"/>
      <c r="D3" s="55" t="s">
        <v>39</v>
      </c>
      <c r="E3" s="56" t="s">
        <v>40</v>
      </c>
      <c r="F3" s="57" t="s">
        <v>41</v>
      </c>
      <c r="G3" s="57" t="s">
        <v>42</v>
      </c>
      <c r="H3" s="58" t="s">
        <v>43</v>
      </c>
      <c r="I3" s="57" t="s">
        <v>44</v>
      </c>
      <c r="J3" s="58" t="s">
        <v>45</v>
      </c>
    </row>
    <row r="4" spans="1:17" ht="15.75" x14ac:dyDescent="0.25">
      <c r="A4" s="59" t="s">
        <v>48</v>
      </c>
      <c r="B4" s="60" t="s">
        <v>71</v>
      </c>
      <c r="C4" s="60"/>
      <c r="D4" s="61" t="s">
        <v>73</v>
      </c>
      <c r="E4" s="62">
        <v>1</v>
      </c>
      <c r="F4" s="61"/>
      <c r="G4" s="61"/>
      <c r="H4" s="63"/>
      <c r="I4" s="74">
        <f>ROUND(SUM(I5:I5),2)</f>
        <v>262.55</v>
      </c>
      <c r="J4" s="75">
        <f>ROUND(SUM(J5:J5),2)</f>
        <v>0</v>
      </c>
    </row>
    <row r="5" spans="1:17" x14ac:dyDescent="0.25">
      <c r="A5" s="76" t="str">
        <f>COTAÇÕES!A6</f>
        <v>COTAÇÃO 003</v>
      </c>
      <c r="B5" s="77" t="s">
        <v>72</v>
      </c>
      <c r="C5" s="78" t="s">
        <v>58</v>
      </c>
      <c r="D5" s="67" t="s">
        <v>73</v>
      </c>
      <c r="E5" s="95">
        <v>1</v>
      </c>
      <c r="F5" s="69"/>
      <c r="G5" s="69">
        <v>262.55</v>
      </c>
      <c r="H5" s="70"/>
      <c r="I5" s="79">
        <f>(F5*E5)+(G5*E5)</f>
        <v>262.55</v>
      </c>
      <c r="J5" s="70"/>
    </row>
    <row r="6" spans="1:17" x14ac:dyDescent="0.25">
      <c r="A6" s="71"/>
      <c r="B6" s="72"/>
      <c r="C6" s="66"/>
      <c r="D6" s="67"/>
      <c r="E6" s="73"/>
      <c r="F6" s="98"/>
      <c r="G6" s="98"/>
      <c r="H6" s="99"/>
      <c r="I6" s="98"/>
      <c r="J6" s="99"/>
    </row>
    <row r="7" spans="1:17" ht="25.5" x14ac:dyDescent="0.25">
      <c r="A7" s="59" t="s">
        <v>150</v>
      </c>
      <c r="B7" s="60" t="s">
        <v>77</v>
      </c>
      <c r="C7" s="60"/>
      <c r="D7" s="61" t="s">
        <v>73</v>
      </c>
      <c r="E7" s="62">
        <v>1</v>
      </c>
      <c r="F7" s="61"/>
      <c r="G7" s="61"/>
      <c r="H7" s="63"/>
      <c r="I7" s="74">
        <f>ROUND(SUM(I8:I8),2)</f>
        <v>17.04</v>
      </c>
      <c r="J7" s="75">
        <f>ROUND(SUM(J8:J8),2)</f>
        <v>1057.68</v>
      </c>
      <c r="O7" s="224">
        <f>I7+J7</f>
        <v>1074.72</v>
      </c>
      <c r="P7" s="224">
        <f>O7*1.23</f>
        <v>1321.9056</v>
      </c>
      <c r="Q7" s="224">
        <f>P7*52</f>
        <v>68739.091199999995</v>
      </c>
    </row>
    <row r="8" spans="1:17" ht="32.25" customHeight="1" x14ac:dyDescent="0.25">
      <c r="A8" s="71">
        <v>90779</v>
      </c>
      <c r="B8" s="72" t="s">
        <v>33</v>
      </c>
      <c r="C8" s="66" t="s">
        <v>57</v>
      </c>
      <c r="D8" s="67" t="s">
        <v>47</v>
      </c>
      <c r="E8" s="68">
        <v>8</v>
      </c>
      <c r="F8" s="69"/>
      <c r="G8" s="69">
        <v>2.13</v>
      </c>
      <c r="H8" s="70">
        <v>132.21</v>
      </c>
      <c r="I8" s="79">
        <f>(F8*E8)+(G8*E8)</f>
        <v>17.04</v>
      </c>
      <c r="J8" s="80">
        <f>H8*E8</f>
        <v>1057.68</v>
      </c>
      <c r="K8" t="s">
        <v>79</v>
      </c>
    </row>
    <row r="9" spans="1:17" x14ac:dyDescent="0.25">
      <c r="A9" s="71"/>
      <c r="B9" s="72"/>
      <c r="C9" s="66"/>
      <c r="D9" s="67"/>
      <c r="E9" s="95"/>
      <c r="F9" s="98"/>
      <c r="G9" s="98"/>
      <c r="H9" s="99"/>
      <c r="I9" s="100"/>
      <c r="J9" s="101"/>
    </row>
    <row r="10" spans="1:17" ht="19.5" customHeight="1" x14ac:dyDescent="0.25">
      <c r="A10" s="59" t="s">
        <v>151</v>
      </c>
      <c r="B10" s="60" t="s">
        <v>76</v>
      </c>
      <c r="C10" s="60"/>
      <c r="D10" s="61" t="s">
        <v>115</v>
      </c>
      <c r="E10" s="62">
        <v>1</v>
      </c>
      <c r="F10" s="61"/>
      <c r="G10" s="61"/>
      <c r="H10" s="63"/>
      <c r="I10" s="74">
        <f>ROUND(SUM(I11:I11),2)</f>
        <v>4.6900000000000004</v>
      </c>
      <c r="J10" s="75">
        <f>ROUND(SUM(J11:J11),2)</f>
        <v>290.86</v>
      </c>
    </row>
    <row r="11" spans="1:17" ht="27" customHeight="1" x14ac:dyDescent="0.25">
      <c r="A11" s="71">
        <v>90779</v>
      </c>
      <c r="B11" s="72" t="s">
        <v>33</v>
      </c>
      <c r="C11" s="66" t="s">
        <v>57</v>
      </c>
      <c r="D11" s="67" t="s">
        <v>47</v>
      </c>
      <c r="E11" s="68">
        <v>2.2000000000000002</v>
      </c>
      <c r="F11" s="69"/>
      <c r="G11" s="69">
        <v>2.13</v>
      </c>
      <c r="H11" s="70">
        <v>132.21</v>
      </c>
      <c r="I11" s="79">
        <f>(F11*E11)+(G11*E11)</f>
        <v>4.6859999999999999</v>
      </c>
      <c r="J11" s="80">
        <f>H11*E11</f>
        <v>290.86200000000002</v>
      </c>
    </row>
    <row r="12" spans="1:17" x14ac:dyDescent="0.25">
      <c r="A12" s="71"/>
      <c r="B12" s="65"/>
      <c r="C12" s="66"/>
      <c r="D12" s="67"/>
      <c r="E12" s="95"/>
      <c r="F12" s="98"/>
      <c r="G12" s="98"/>
      <c r="H12" s="99"/>
      <c r="I12" s="98"/>
      <c r="J12" s="99"/>
    </row>
    <row r="13" spans="1:17" ht="25.5" x14ac:dyDescent="0.25">
      <c r="A13" s="59" t="s">
        <v>78</v>
      </c>
      <c r="B13" s="60" t="s">
        <v>87</v>
      </c>
      <c r="C13" s="60"/>
      <c r="D13" s="61" t="s">
        <v>73</v>
      </c>
      <c r="E13" s="62">
        <v>1</v>
      </c>
      <c r="F13" s="61"/>
      <c r="G13" s="61"/>
      <c r="H13" s="63"/>
      <c r="I13" s="64">
        <f>ROUND(SUM(I14:I14),2)</f>
        <v>6.39</v>
      </c>
      <c r="J13" s="63">
        <f>ROUND(SUM(J14:J14),2)</f>
        <v>396.63</v>
      </c>
    </row>
    <row r="14" spans="1:17" ht="30" customHeight="1" x14ac:dyDescent="0.25">
      <c r="A14" s="71">
        <v>90779</v>
      </c>
      <c r="B14" s="72" t="s">
        <v>33</v>
      </c>
      <c r="C14" s="66" t="s">
        <v>57</v>
      </c>
      <c r="D14" s="67" t="s">
        <v>47</v>
      </c>
      <c r="E14" s="68">
        <v>3</v>
      </c>
      <c r="F14" s="69"/>
      <c r="G14" s="69">
        <v>2.13</v>
      </c>
      <c r="H14" s="70">
        <v>132.21</v>
      </c>
      <c r="I14" s="79">
        <f>(F14*E14)+(G14*E14)</f>
        <v>6.39</v>
      </c>
      <c r="J14" s="80">
        <f>H14*E14</f>
        <v>396.63</v>
      </c>
    </row>
    <row r="15" spans="1:17" x14ac:dyDescent="0.25">
      <c r="A15" s="97"/>
      <c r="B15" s="72"/>
      <c r="C15" s="66"/>
      <c r="D15" s="67"/>
      <c r="E15" s="94"/>
      <c r="F15" s="98"/>
      <c r="G15" s="98"/>
      <c r="H15" s="99"/>
      <c r="I15" s="98"/>
      <c r="J15" s="99"/>
    </row>
    <row r="16" spans="1:17" ht="25.5" x14ac:dyDescent="0.25">
      <c r="A16" s="59" t="s">
        <v>152</v>
      </c>
      <c r="B16" s="60" t="s">
        <v>187</v>
      </c>
      <c r="C16" s="60"/>
      <c r="D16" s="61" t="s">
        <v>73</v>
      </c>
      <c r="E16" s="62">
        <v>1</v>
      </c>
      <c r="F16" s="61"/>
      <c r="G16" s="61"/>
      <c r="H16" s="63"/>
      <c r="I16" s="64">
        <f>ROUND(SUM(I17:I17),2)</f>
        <v>6.39</v>
      </c>
      <c r="J16" s="63">
        <f>ROUND(SUM(J17:J17),2)</f>
        <v>396.63</v>
      </c>
    </row>
    <row r="17" spans="1:10" ht="24" x14ac:dyDescent="0.25">
      <c r="A17" s="71">
        <v>90779</v>
      </c>
      <c r="B17" s="72" t="s">
        <v>33</v>
      </c>
      <c r="C17" s="66" t="s">
        <v>57</v>
      </c>
      <c r="D17" s="67" t="s">
        <v>47</v>
      </c>
      <c r="E17" s="68">
        <v>3</v>
      </c>
      <c r="F17" s="69"/>
      <c r="G17" s="69">
        <v>2.13</v>
      </c>
      <c r="H17" s="70">
        <v>132.21</v>
      </c>
      <c r="I17" s="79">
        <f>(F17*E17)+(G17*E17)</f>
        <v>6.39</v>
      </c>
      <c r="J17" s="80">
        <f>H17*E17</f>
        <v>396.63</v>
      </c>
    </row>
    <row r="18" spans="1:10" x14ac:dyDescent="0.25">
      <c r="A18" s="97"/>
      <c r="B18" s="72"/>
      <c r="C18" s="66"/>
      <c r="D18" s="67"/>
      <c r="E18" s="95"/>
      <c r="F18" s="98"/>
      <c r="G18" s="98"/>
      <c r="H18" s="99"/>
      <c r="I18" s="100"/>
      <c r="J18" s="101"/>
    </row>
    <row r="19" spans="1:10" ht="25.5" x14ac:dyDescent="0.25">
      <c r="A19" s="59" t="s">
        <v>153</v>
      </c>
      <c r="B19" s="60" t="s">
        <v>188</v>
      </c>
      <c r="C19" s="60"/>
      <c r="D19" s="61" t="s">
        <v>73</v>
      </c>
      <c r="E19" s="62">
        <v>1</v>
      </c>
      <c r="F19" s="61"/>
      <c r="G19" s="61"/>
      <c r="H19" s="63"/>
      <c r="I19" s="64">
        <f>ROUND(SUM(I20:I20),2)</f>
        <v>6.39</v>
      </c>
      <c r="J19" s="63">
        <f>ROUND(SUM(J20:J20),2)</f>
        <v>396.63</v>
      </c>
    </row>
    <row r="20" spans="1:10" ht="24" x14ac:dyDescent="0.25">
      <c r="A20" s="71">
        <v>90779</v>
      </c>
      <c r="B20" s="72" t="s">
        <v>33</v>
      </c>
      <c r="C20" s="66" t="s">
        <v>57</v>
      </c>
      <c r="D20" s="67" t="s">
        <v>47</v>
      </c>
      <c r="E20" s="68">
        <v>3</v>
      </c>
      <c r="F20" s="69"/>
      <c r="G20" s="69">
        <v>2.13</v>
      </c>
      <c r="H20" s="70">
        <v>132.21</v>
      </c>
      <c r="I20" s="79">
        <f>(F20*E20)+(G20*E20)</f>
        <v>6.39</v>
      </c>
      <c r="J20" s="80">
        <f>H20*E20</f>
        <v>396.63</v>
      </c>
    </row>
    <row r="21" spans="1:10" x14ac:dyDescent="0.25">
      <c r="A21" s="97"/>
      <c r="B21" s="72"/>
      <c r="C21" s="66"/>
      <c r="D21" s="67"/>
      <c r="E21" s="94"/>
      <c r="F21" s="98"/>
      <c r="G21" s="98"/>
      <c r="H21" s="99"/>
      <c r="I21" s="100"/>
      <c r="J21" s="101"/>
    </row>
    <row r="22" spans="1:10" ht="38.25" x14ac:dyDescent="0.25">
      <c r="A22" s="59" t="s">
        <v>154</v>
      </c>
      <c r="B22" s="60" t="s">
        <v>190</v>
      </c>
      <c r="C22" s="60"/>
      <c r="D22" s="61" t="s">
        <v>73</v>
      </c>
      <c r="E22" s="62">
        <v>1</v>
      </c>
      <c r="F22" s="61"/>
      <c r="G22" s="61"/>
      <c r="H22" s="63"/>
      <c r="I22" s="74">
        <f>ROUND(SUM(I23:I24),2)</f>
        <v>115.08</v>
      </c>
      <c r="J22" s="63">
        <f>ROUND(SUM(J23:J24),2)</f>
        <v>1634.16</v>
      </c>
    </row>
    <row r="23" spans="1:10" ht="24" customHeight="1" x14ac:dyDescent="0.25">
      <c r="A23" s="76">
        <v>88267</v>
      </c>
      <c r="B23" s="77" t="s">
        <v>92</v>
      </c>
      <c r="C23" s="66" t="s">
        <v>57</v>
      </c>
      <c r="D23" s="67" t="s">
        <v>47</v>
      </c>
      <c r="E23" s="95">
        <v>30</v>
      </c>
      <c r="F23" s="69"/>
      <c r="G23" s="69">
        <v>3.41</v>
      </c>
      <c r="H23" s="70">
        <v>28.03</v>
      </c>
      <c r="I23" s="79">
        <f>(F23*E23)+(G23*E23)</f>
        <v>102.30000000000001</v>
      </c>
      <c r="J23" s="80">
        <f>H23*E23</f>
        <v>840.90000000000009</v>
      </c>
    </row>
    <row r="24" spans="1:10" ht="24" customHeight="1" x14ac:dyDescent="0.25">
      <c r="A24" s="71">
        <v>90779</v>
      </c>
      <c r="B24" s="72" t="s">
        <v>33</v>
      </c>
      <c r="C24" s="66" t="s">
        <v>57</v>
      </c>
      <c r="D24" s="67" t="s">
        <v>47</v>
      </c>
      <c r="E24" s="68">
        <v>6</v>
      </c>
      <c r="F24" s="69"/>
      <c r="G24" s="69">
        <v>2.13</v>
      </c>
      <c r="H24" s="70">
        <v>132.21</v>
      </c>
      <c r="I24" s="79">
        <f>(F24*E24)+(G24*E24)</f>
        <v>12.78</v>
      </c>
      <c r="J24" s="80">
        <f>H24*E24</f>
        <v>793.26</v>
      </c>
    </row>
    <row r="25" spans="1:10" x14ac:dyDescent="0.25">
      <c r="A25" s="97"/>
      <c r="B25" s="72"/>
      <c r="C25" s="66"/>
      <c r="D25" s="67"/>
      <c r="E25" s="94"/>
      <c r="F25" s="98"/>
      <c r="G25" s="98"/>
      <c r="H25" s="99"/>
      <c r="I25" s="100"/>
      <c r="J25" s="101"/>
    </row>
    <row r="26" spans="1:10" ht="25.5" x14ac:dyDescent="0.25">
      <c r="A26" s="59" t="s">
        <v>90</v>
      </c>
      <c r="B26" s="60" t="s">
        <v>158</v>
      </c>
      <c r="C26" s="60"/>
      <c r="D26" s="61" t="s">
        <v>73</v>
      </c>
      <c r="E26" s="62">
        <v>1</v>
      </c>
      <c r="F26" s="61"/>
      <c r="G26" s="61"/>
      <c r="H26" s="63"/>
      <c r="I26" s="74">
        <f>ROUND(SUM(I27:I28),2)</f>
        <v>14.28</v>
      </c>
      <c r="J26" s="75">
        <f>ROUND(SUM(J27:J28),2)</f>
        <v>518.79999999999995</v>
      </c>
    </row>
    <row r="27" spans="1:10" ht="24" customHeight="1" x14ac:dyDescent="0.25">
      <c r="A27" s="76">
        <v>88267</v>
      </c>
      <c r="B27" s="77" t="s">
        <v>92</v>
      </c>
      <c r="C27" s="66" t="s">
        <v>57</v>
      </c>
      <c r="D27" s="67" t="s">
        <v>47</v>
      </c>
      <c r="E27" s="95">
        <v>2</v>
      </c>
      <c r="F27" s="69"/>
      <c r="G27" s="69">
        <v>3.41</v>
      </c>
      <c r="H27" s="70">
        <v>28.03</v>
      </c>
      <c r="I27" s="79">
        <f>(F27*E27)+(G27*E27)</f>
        <v>6.82</v>
      </c>
      <c r="J27" s="80">
        <f>H27*E27</f>
        <v>56.06</v>
      </c>
    </row>
    <row r="28" spans="1:10" ht="24" customHeight="1" x14ac:dyDescent="0.25">
      <c r="A28" s="71">
        <v>90779</v>
      </c>
      <c r="B28" s="72" t="s">
        <v>33</v>
      </c>
      <c r="C28" s="66" t="s">
        <v>57</v>
      </c>
      <c r="D28" s="67" t="s">
        <v>47</v>
      </c>
      <c r="E28" s="68">
        <v>3.5</v>
      </c>
      <c r="F28" s="69"/>
      <c r="G28" s="69">
        <v>2.13</v>
      </c>
      <c r="H28" s="70">
        <v>132.21</v>
      </c>
      <c r="I28" s="79">
        <f>(F28*E28)+(G28*E28)</f>
        <v>7.4550000000000001</v>
      </c>
      <c r="J28" s="80">
        <f>H28*E28</f>
        <v>462.73500000000001</v>
      </c>
    </row>
    <row r="29" spans="1:10" x14ac:dyDescent="0.25">
      <c r="A29" s="97"/>
      <c r="B29" s="72"/>
      <c r="C29" s="66"/>
      <c r="D29" s="67"/>
      <c r="E29" s="94"/>
      <c r="F29" s="98"/>
      <c r="G29" s="98"/>
      <c r="H29" s="99"/>
      <c r="I29" s="100"/>
      <c r="J29" s="101"/>
    </row>
    <row r="30" spans="1:10" ht="38.25" x14ac:dyDescent="0.25">
      <c r="A30" s="59" t="s">
        <v>91</v>
      </c>
      <c r="B30" s="60" t="s">
        <v>157</v>
      </c>
      <c r="C30" s="60"/>
      <c r="D30" s="61" t="s">
        <v>73</v>
      </c>
      <c r="E30" s="62">
        <v>1</v>
      </c>
      <c r="F30" s="61"/>
      <c r="G30" s="61"/>
      <c r="H30" s="63"/>
      <c r="I30" s="74">
        <f>ROUND(SUM(I31:I32),2)</f>
        <v>9.42</v>
      </c>
      <c r="J30" s="75">
        <f>ROUND(SUM(J31:J32),2)</f>
        <v>362.57</v>
      </c>
    </row>
    <row r="31" spans="1:10" ht="24" customHeight="1" x14ac:dyDescent="0.25">
      <c r="A31" s="76">
        <v>100308</v>
      </c>
      <c r="B31" s="77" t="s">
        <v>93</v>
      </c>
      <c r="C31" s="78" t="s">
        <v>58</v>
      </c>
      <c r="D31" s="67" t="s">
        <v>73</v>
      </c>
      <c r="E31" s="95">
        <v>1</v>
      </c>
      <c r="F31" s="69"/>
      <c r="G31" s="69">
        <v>4.09</v>
      </c>
      <c r="H31" s="70">
        <v>32.04</v>
      </c>
      <c r="I31" s="79">
        <f>(F31*E31)+(G31*E31)</f>
        <v>4.09</v>
      </c>
      <c r="J31" s="80">
        <f>H31*E31</f>
        <v>32.04</v>
      </c>
    </row>
    <row r="32" spans="1:10" ht="24" x14ac:dyDescent="0.25">
      <c r="A32" s="71">
        <v>90779</v>
      </c>
      <c r="B32" s="72" t="s">
        <v>33</v>
      </c>
      <c r="C32" s="66" t="s">
        <v>57</v>
      </c>
      <c r="D32" s="67" t="s">
        <v>47</v>
      </c>
      <c r="E32" s="68">
        <v>2.5</v>
      </c>
      <c r="F32" s="69"/>
      <c r="G32" s="69">
        <v>2.13</v>
      </c>
      <c r="H32" s="70">
        <v>132.21</v>
      </c>
      <c r="I32" s="79">
        <f>(F32*E32)+(G32*E32)</f>
        <v>5.3249999999999993</v>
      </c>
      <c r="J32" s="80">
        <f>H32*E32</f>
        <v>330.52500000000003</v>
      </c>
    </row>
    <row r="34" spans="1:10" ht="25.5" x14ac:dyDescent="0.25">
      <c r="A34" s="59" t="s">
        <v>96</v>
      </c>
      <c r="B34" s="60" t="s">
        <v>156</v>
      </c>
      <c r="C34" s="60"/>
      <c r="D34" s="61" t="s">
        <v>73</v>
      </c>
      <c r="E34" s="62">
        <v>1</v>
      </c>
      <c r="F34" s="61"/>
      <c r="G34" s="61"/>
      <c r="H34" s="63"/>
      <c r="I34" s="74">
        <f>ROUND(SUM(I35:I36),2)</f>
        <v>5.37</v>
      </c>
      <c r="J34" s="75">
        <f>ROUND(SUM(J35:J36),2)</f>
        <v>111.8</v>
      </c>
    </row>
    <row r="35" spans="1:10" x14ac:dyDescent="0.25">
      <c r="A35" s="76">
        <v>88264</v>
      </c>
      <c r="B35" s="77" t="s">
        <v>97</v>
      </c>
      <c r="C35" s="78" t="s">
        <v>58</v>
      </c>
      <c r="D35" s="67" t="s">
        <v>73</v>
      </c>
      <c r="E35" s="95">
        <v>1</v>
      </c>
      <c r="F35" s="69"/>
      <c r="G35" s="69">
        <v>4.09</v>
      </c>
      <c r="H35" s="70">
        <v>32.47</v>
      </c>
      <c r="I35" s="79">
        <f>(F35*E35)+(G35*E35)</f>
        <v>4.09</v>
      </c>
      <c r="J35" s="80">
        <f>H35*E35</f>
        <v>32.47</v>
      </c>
    </row>
    <row r="36" spans="1:10" ht="24" x14ac:dyDescent="0.25">
      <c r="A36" s="71">
        <v>90779</v>
      </c>
      <c r="B36" s="72" t="s">
        <v>33</v>
      </c>
      <c r="C36" s="66" t="s">
        <v>57</v>
      </c>
      <c r="D36" s="67" t="s">
        <v>47</v>
      </c>
      <c r="E36" s="68">
        <v>0.6</v>
      </c>
      <c r="F36" s="69"/>
      <c r="G36" s="69">
        <v>2.13</v>
      </c>
      <c r="H36" s="70">
        <v>132.21</v>
      </c>
      <c r="I36" s="79">
        <f>(F36*E36)+(G36*E36)</f>
        <v>1.2779999999999998</v>
      </c>
      <c r="J36" s="80">
        <f>H36*E36</f>
        <v>79.326000000000008</v>
      </c>
    </row>
    <row r="38" spans="1:10" ht="25.5" x14ac:dyDescent="0.25">
      <c r="A38" s="59" t="s">
        <v>98</v>
      </c>
      <c r="B38" s="60" t="s">
        <v>159</v>
      </c>
      <c r="C38" s="60"/>
      <c r="D38" s="61" t="s">
        <v>73</v>
      </c>
      <c r="E38" s="62">
        <v>1</v>
      </c>
      <c r="F38" s="61"/>
      <c r="G38" s="61"/>
      <c r="H38" s="63"/>
      <c r="I38" s="74">
        <f>ROUND(SUM(I39:I41),2)</f>
        <v>15.98</v>
      </c>
      <c r="J38" s="75">
        <f>ROUND(SUM(J39:J41),2)</f>
        <v>329.64</v>
      </c>
    </row>
    <row r="39" spans="1:10" x14ac:dyDescent="0.25">
      <c r="A39" s="76">
        <v>88321</v>
      </c>
      <c r="B39" s="77" t="s">
        <v>99</v>
      </c>
      <c r="C39" s="78" t="s">
        <v>57</v>
      </c>
      <c r="D39" s="67" t="s">
        <v>47</v>
      </c>
      <c r="E39" s="95">
        <f>16/5</f>
        <v>3.2</v>
      </c>
      <c r="F39" s="69"/>
      <c r="G39" s="69">
        <v>2.23</v>
      </c>
      <c r="H39" s="70">
        <v>37.630000000000003</v>
      </c>
      <c r="I39" s="79">
        <f>(F39*E39)+(G39*E39)</f>
        <v>7.1360000000000001</v>
      </c>
      <c r="J39" s="80">
        <f>H39*E39</f>
        <v>120.41600000000001</v>
      </c>
    </row>
    <row r="40" spans="1:10" x14ac:dyDescent="0.25">
      <c r="A40" s="76">
        <v>88249</v>
      </c>
      <c r="B40" s="77" t="s">
        <v>100</v>
      </c>
      <c r="C40" s="78" t="s">
        <v>57</v>
      </c>
      <c r="D40" s="67" t="s">
        <v>47</v>
      </c>
      <c r="E40" s="95">
        <f>16/5</f>
        <v>3.2</v>
      </c>
      <c r="F40" s="69"/>
      <c r="G40" s="69">
        <v>2.23</v>
      </c>
      <c r="H40" s="70">
        <v>32.33</v>
      </c>
      <c r="I40" s="79">
        <f>(F40*E40)+(G40*E40)</f>
        <v>7.1360000000000001</v>
      </c>
      <c r="J40" s="80">
        <f>H40*E40</f>
        <v>103.456</v>
      </c>
    </row>
    <row r="41" spans="1:10" ht="24" x14ac:dyDescent="0.25">
      <c r="A41" s="71">
        <v>90779</v>
      </c>
      <c r="B41" s="72" t="s">
        <v>33</v>
      </c>
      <c r="C41" s="66" t="s">
        <v>57</v>
      </c>
      <c r="D41" s="67" t="s">
        <v>47</v>
      </c>
      <c r="E41" s="68">
        <f>4/5</f>
        <v>0.8</v>
      </c>
      <c r="F41" s="69"/>
      <c r="G41" s="69">
        <v>2.13</v>
      </c>
      <c r="H41" s="70">
        <v>132.21</v>
      </c>
      <c r="I41" s="79">
        <f>(F41*E41)+(G41*E41)</f>
        <v>1.704</v>
      </c>
      <c r="J41" s="80">
        <f>H41*E41</f>
        <v>105.76800000000001</v>
      </c>
    </row>
    <row r="43" spans="1:10" ht="25.5" x14ac:dyDescent="0.25">
      <c r="A43" s="59" t="s">
        <v>108</v>
      </c>
      <c r="B43" s="60" t="s">
        <v>111</v>
      </c>
      <c r="C43" s="60"/>
      <c r="D43" s="61" t="s">
        <v>73</v>
      </c>
      <c r="E43" s="62">
        <v>1</v>
      </c>
      <c r="F43" s="61"/>
      <c r="G43" s="61"/>
      <c r="H43" s="63"/>
      <c r="I43" s="74">
        <f>ROUND(SUM(I44:I44),2)</f>
        <v>6.39</v>
      </c>
      <c r="J43" s="75">
        <f>ROUND(SUM(J44:J44),2)</f>
        <v>396.63</v>
      </c>
    </row>
    <row r="44" spans="1:10" ht="24" x14ac:dyDescent="0.25">
      <c r="A44" s="71">
        <v>90779</v>
      </c>
      <c r="B44" s="72" t="s">
        <v>33</v>
      </c>
      <c r="C44" s="66" t="s">
        <v>57</v>
      </c>
      <c r="D44" s="67" t="s">
        <v>47</v>
      </c>
      <c r="E44" s="68">
        <v>3</v>
      </c>
      <c r="F44" s="69"/>
      <c r="G44" s="69">
        <v>2.13</v>
      </c>
      <c r="H44" s="70">
        <v>132.21</v>
      </c>
      <c r="I44" s="79">
        <f>(F44*E44)+(G44*E44)</f>
        <v>6.39</v>
      </c>
      <c r="J44" s="80">
        <f>H44*E44</f>
        <v>396.63</v>
      </c>
    </row>
    <row r="46" spans="1:10" ht="38.25" x14ac:dyDescent="0.25">
      <c r="A46" s="59" t="s">
        <v>110</v>
      </c>
      <c r="B46" s="60" t="s">
        <v>109</v>
      </c>
      <c r="C46" s="60"/>
      <c r="D46" s="61" t="s">
        <v>73</v>
      </c>
      <c r="E46" s="62">
        <v>1</v>
      </c>
      <c r="F46" s="61"/>
      <c r="G46" s="61"/>
      <c r="H46" s="63"/>
      <c r="I46" s="74">
        <f>ROUND(SUM(I47:I47),2)</f>
        <v>5.33</v>
      </c>
      <c r="J46" s="75">
        <f>ROUND(SUM(J47:J47),2)</f>
        <v>330.53</v>
      </c>
    </row>
    <row r="47" spans="1:10" ht="24" x14ac:dyDescent="0.25">
      <c r="A47" s="71">
        <v>90779</v>
      </c>
      <c r="B47" s="72" t="s">
        <v>33</v>
      </c>
      <c r="C47" s="66" t="s">
        <v>57</v>
      </c>
      <c r="D47" s="67" t="s">
        <v>47</v>
      </c>
      <c r="E47" s="68">
        <v>2.5</v>
      </c>
      <c r="F47" s="69"/>
      <c r="G47" s="69">
        <v>2.13</v>
      </c>
      <c r="H47" s="70">
        <v>132.21</v>
      </c>
      <c r="I47" s="79">
        <f>(F47*E47)+(G47*E47)</f>
        <v>5.3249999999999993</v>
      </c>
      <c r="J47" s="80">
        <f>H47*E47</f>
        <v>330.52500000000003</v>
      </c>
    </row>
    <row r="49" spans="1:10" ht="25.5" x14ac:dyDescent="0.25">
      <c r="A49" s="59" t="s">
        <v>112</v>
      </c>
      <c r="B49" s="60" t="s">
        <v>113</v>
      </c>
      <c r="C49" s="60"/>
      <c r="D49" s="61" t="s">
        <v>73</v>
      </c>
      <c r="E49" s="62">
        <v>1</v>
      </c>
      <c r="F49" s="61"/>
      <c r="G49" s="61"/>
      <c r="H49" s="63"/>
      <c r="I49" s="74">
        <f>ROUND(SUM(I50:I50),2)</f>
        <v>4.26</v>
      </c>
      <c r="J49" s="75">
        <f>ROUND(SUM(J50:J50),2)</f>
        <v>264.42</v>
      </c>
    </row>
    <row r="50" spans="1:10" ht="24" x14ac:dyDescent="0.25">
      <c r="A50" s="71">
        <v>90779</v>
      </c>
      <c r="B50" s="72" t="s">
        <v>33</v>
      </c>
      <c r="C50" s="66" t="s">
        <v>57</v>
      </c>
      <c r="D50" s="67" t="s">
        <v>47</v>
      </c>
      <c r="E50" s="68">
        <v>2</v>
      </c>
      <c r="F50" s="69"/>
      <c r="G50" s="69">
        <v>2.13</v>
      </c>
      <c r="H50" s="70">
        <v>132.21</v>
      </c>
      <c r="I50" s="79">
        <f>(F50*E50)+(G50*E50)</f>
        <v>4.26</v>
      </c>
      <c r="J50" s="80">
        <f>H50*E50</f>
        <v>264.42</v>
      </c>
    </row>
    <row r="52" spans="1:10" ht="25.5" x14ac:dyDescent="0.25">
      <c r="A52" s="59" t="s">
        <v>116</v>
      </c>
      <c r="B52" s="60" t="s">
        <v>114</v>
      </c>
      <c r="C52" s="60"/>
      <c r="D52" s="61" t="s">
        <v>115</v>
      </c>
      <c r="E52" s="62">
        <v>1</v>
      </c>
      <c r="F52" s="61"/>
      <c r="G52" s="61"/>
      <c r="H52" s="63"/>
      <c r="I52" s="74">
        <f>ROUND(SUM(I53:I53),2)</f>
        <v>2.13</v>
      </c>
      <c r="J52" s="75">
        <f>ROUND(SUM(J53:J53),2)</f>
        <v>132.21</v>
      </c>
    </row>
    <row r="53" spans="1:10" ht="24" x14ac:dyDescent="0.25">
      <c r="A53" s="71">
        <v>90779</v>
      </c>
      <c r="B53" s="72" t="s">
        <v>33</v>
      </c>
      <c r="C53" s="66" t="s">
        <v>57</v>
      </c>
      <c r="D53" s="67" t="s">
        <v>47</v>
      </c>
      <c r="E53" s="68">
        <v>1</v>
      </c>
      <c r="F53" s="69"/>
      <c r="G53" s="69">
        <v>2.13</v>
      </c>
      <c r="H53" s="70">
        <v>132.21</v>
      </c>
      <c r="I53" s="79">
        <f>(F53*E53)+(G53*E53)</f>
        <v>2.13</v>
      </c>
      <c r="J53" s="80">
        <f>H53*E53</f>
        <v>132.21</v>
      </c>
    </row>
    <row r="55" spans="1:10" ht="25.5" x14ac:dyDescent="0.25">
      <c r="A55" s="59" t="s">
        <v>117</v>
      </c>
      <c r="B55" s="60" t="s">
        <v>107</v>
      </c>
      <c r="C55" s="60"/>
      <c r="D55" s="61" t="s">
        <v>73</v>
      </c>
      <c r="E55" s="62">
        <v>1</v>
      </c>
      <c r="F55" s="61"/>
      <c r="G55" s="61"/>
      <c r="H55" s="63"/>
      <c r="I55" s="74">
        <f>ROUND(SUM(I56:I57),2)</f>
        <v>12.78</v>
      </c>
      <c r="J55" s="75">
        <f>ROUND(SUM(J56:J57),2)</f>
        <v>793.26</v>
      </c>
    </row>
    <row r="56" spans="1:10" ht="24" x14ac:dyDescent="0.25">
      <c r="A56" s="71">
        <v>90779</v>
      </c>
      <c r="B56" s="72" t="s">
        <v>33</v>
      </c>
      <c r="C56" s="66" t="s">
        <v>57</v>
      </c>
      <c r="D56" s="67" t="s">
        <v>47</v>
      </c>
      <c r="E56" s="68">
        <v>3</v>
      </c>
      <c r="F56" s="69"/>
      <c r="G56" s="69">
        <v>2.13</v>
      </c>
      <c r="H56" s="70">
        <v>132.21</v>
      </c>
      <c r="I56" s="79">
        <f>(F56*E56)+(G56*E56)</f>
        <v>6.39</v>
      </c>
      <c r="J56" s="80">
        <f>H56*E56</f>
        <v>396.63</v>
      </c>
    </row>
    <row r="57" spans="1:10" ht="24" x14ac:dyDescent="0.25">
      <c r="A57" s="71">
        <v>90779</v>
      </c>
      <c r="B57" s="72" t="s">
        <v>33</v>
      </c>
      <c r="C57" s="66" t="s">
        <v>57</v>
      </c>
      <c r="D57" s="67" t="s">
        <v>47</v>
      </c>
      <c r="E57" s="68">
        <v>3</v>
      </c>
      <c r="F57" s="69"/>
      <c r="G57" s="69">
        <v>2.13</v>
      </c>
      <c r="H57" s="70">
        <v>132.21</v>
      </c>
      <c r="I57" s="79">
        <f>(F57*E57)+(G57*E57)</f>
        <v>6.39</v>
      </c>
      <c r="J57" s="80">
        <f>H57*E57</f>
        <v>396.63</v>
      </c>
    </row>
    <row r="59" spans="1:10" ht="15.75" x14ac:dyDescent="0.25">
      <c r="A59" s="59" t="s">
        <v>122</v>
      </c>
      <c r="B59" s="60" t="s">
        <v>199</v>
      </c>
      <c r="C59" s="60"/>
      <c r="D59" s="61" t="s">
        <v>73</v>
      </c>
      <c r="E59" s="62">
        <v>1</v>
      </c>
      <c r="F59" s="61"/>
      <c r="G59" s="61"/>
      <c r="H59" s="63"/>
      <c r="I59" s="74">
        <f>ROUND(SUM(I60:I61),2)</f>
        <v>1100.4000000000001</v>
      </c>
      <c r="J59" s="75">
        <f>ROUND(SUM(J60:J61),2)</f>
        <v>0</v>
      </c>
    </row>
    <row r="60" spans="1:10" ht="24.75" x14ac:dyDescent="0.25">
      <c r="A60" s="103" t="s">
        <v>120</v>
      </c>
      <c r="B60" s="104" t="s">
        <v>121</v>
      </c>
      <c r="C60" s="78" t="s">
        <v>0</v>
      </c>
      <c r="D60" s="67" t="s">
        <v>73</v>
      </c>
      <c r="E60" s="95">
        <v>50</v>
      </c>
      <c r="F60" s="69"/>
      <c r="G60" s="69">
        <v>18.34</v>
      </c>
      <c r="H60" s="80"/>
      <c r="I60" s="79">
        <f>(F60*E60)+(G60*E60)</f>
        <v>917</v>
      </c>
      <c r="J60" s="80">
        <f>H60*E60</f>
        <v>0</v>
      </c>
    </row>
    <row r="61" spans="1:10" x14ac:dyDescent="0.25">
      <c r="A61" s="103" t="str">
        <f>COTAÇÕES!A3</f>
        <v>COTAÇÃO 002</v>
      </c>
      <c r="B61" s="104" t="str">
        <f>COTAÇÕES!B3</f>
        <v>IMPRESSÃO COLOR EM FOLHA A4</v>
      </c>
      <c r="C61" s="78" t="s">
        <v>0</v>
      </c>
      <c r="D61" s="67" t="s">
        <v>73</v>
      </c>
      <c r="E61" s="95">
        <v>262</v>
      </c>
      <c r="F61" s="69"/>
      <c r="G61" s="69">
        <f>COTAÇÕES!E3</f>
        <v>0.7</v>
      </c>
      <c r="H61" s="80"/>
      <c r="I61" s="79">
        <f>(F61*E61)+(G61*E61)</f>
        <v>183.39999999999998</v>
      </c>
      <c r="J61" s="80">
        <f>H61*E61</f>
        <v>0</v>
      </c>
    </row>
    <row r="65" spans="1:19" ht="15.75" thickBot="1" x14ac:dyDescent="0.3">
      <c r="D65" s="33" t="s">
        <v>186</v>
      </c>
    </row>
    <row r="66" spans="1:19" ht="57" thickBot="1" x14ac:dyDescent="0.3">
      <c r="A66" s="34"/>
      <c r="B66" s="35"/>
      <c r="C66" s="35" t="s">
        <v>6</v>
      </c>
      <c r="D66" s="36" t="s">
        <v>21</v>
      </c>
      <c r="E66" s="36" t="s">
        <v>22</v>
      </c>
      <c r="F66" s="36" t="s">
        <v>23</v>
      </c>
      <c r="G66" s="36" t="s">
        <v>24</v>
      </c>
      <c r="H66" s="36" t="s">
        <v>25</v>
      </c>
      <c r="I66" s="36" t="s">
        <v>26</v>
      </c>
      <c r="J66" s="37" t="s">
        <v>27</v>
      </c>
      <c r="K66" s="37" t="s">
        <v>28</v>
      </c>
      <c r="L66" s="36" t="s">
        <v>34</v>
      </c>
      <c r="M66" s="36" t="s">
        <v>29</v>
      </c>
      <c r="O66" s="102" t="s">
        <v>163</v>
      </c>
      <c r="P66" s="93" t="s">
        <v>162</v>
      </c>
      <c r="Q66" s="93"/>
    </row>
    <row r="67" spans="1:19" ht="45" x14ac:dyDescent="0.25">
      <c r="A67" s="38" t="s">
        <v>30</v>
      </c>
      <c r="B67" s="39">
        <v>90779</v>
      </c>
      <c r="C67" s="40" t="s">
        <v>33</v>
      </c>
      <c r="D67" s="41" t="s">
        <v>31</v>
      </c>
      <c r="E67" s="42">
        <v>8</v>
      </c>
      <c r="F67" s="43">
        <f>365/12/7</f>
        <v>4.3452380952380958</v>
      </c>
      <c r="G67" s="137">
        <f>E67*F67</f>
        <v>34.761904761904766</v>
      </c>
      <c r="H67" s="44">
        <v>132.21</v>
      </c>
      <c r="I67" s="45">
        <v>2.13</v>
      </c>
      <c r="J67" s="46">
        <v>1.0831999999999999</v>
      </c>
      <c r="K67" s="47">
        <v>0.66039999999999999</v>
      </c>
      <c r="L67" s="49">
        <f>$H67*G67/(1+$J67)*(1+$K67)</f>
        <v>3663.1072004608313</v>
      </c>
      <c r="M67" s="49">
        <f>$G67*I67</f>
        <v>74.042857142857144</v>
      </c>
      <c r="O67" s="138">
        <f>L67+M67</f>
        <v>3737.1500576036883</v>
      </c>
      <c r="P67" s="93">
        <v>12</v>
      </c>
      <c r="Q67" s="92">
        <f>O67*P67*(1+ORÇAMENTO!G8)</f>
        <v>55160.334850230436</v>
      </c>
      <c r="R67" s="225">
        <f>Q67*1.23</f>
        <v>67847.211865783436</v>
      </c>
    </row>
    <row r="68" spans="1:19" ht="45" x14ac:dyDescent="0.25">
      <c r="A68" s="38" t="s">
        <v>32</v>
      </c>
      <c r="B68" s="39">
        <v>90777</v>
      </c>
      <c r="C68" s="40" t="s">
        <v>85</v>
      </c>
      <c r="D68" s="41" t="s">
        <v>31</v>
      </c>
      <c r="E68" s="42">
        <v>20</v>
      </c>
      <c r="F68" s="43">
        <f>365/12/7</f>
        <v>4.3452380952380958</v>
      </c>
      <c r="G68" s="48">
        <f>E68*F68</f>
        <v>86.904761904761912</v>
      </c>
      <c r="H68" s="44">
        <v>115.56</v>
      </c>
      <c r="I68" s="44">
        <v>2.13</v>
      </c>
      <c r="J68" s="46">
        <v>1.0831999999999999</v>
      </c>
      <c r="K68" s="47">
        <v>0.66039999999999999</v>
      </c>
      <c r="L68" s="49">
        <f>$H68*G68/(1+$J68)*(1+$K68)</f>
        <v>8004.4752304147487</v>
      </c>
      <c r="M68" s="49">
        <f>$G68*I68</f>
        <v>185.10714285714286</v>
      </c>
      <c r="O68" s="138">
        <f>L68+M68</f>
        <v>8189.5823732718918</v>
      </c>
      <c r="P68" s="93">
        <v>12</v>
      </c>
      <c r="Q68" s="92">
        <f>O68*P68*(1+ORÇAMENTO!G8)</f>
        <v>120878.23582949312</v>
      </c>
      <c r="S68">
        <v>70000</v>
      </c>
    </row>
    <row r="69" spans="1:19" ht="45" x14ac:dyDescent="0.25">
      <c r="A69" s="38" t="s">
        <v>160</v>
      </c>
      <c r="B69" s="39">
        <v>90778</v>
      </c>
      <c r="C69" s="40" t="s">
        <v>161</v>
      </c>
      <c r="D69" s="41" t="s">
        <v>31</v>
      </c>
      <c r="E69" s="42">
        <v>5.75</v>
      </c>
      <c r="F69" s="43">
        <f>365/12/7</f>
        <v>4.3452380952380958</v>
      </c>
      <c r="G69" s="137">
        <f>E69*F69</f>
        <v>24.985119047619051</v>
      </c>
      <c r="H69" s="44">
        <v>130.38999999999999</v>
      </c>
      <c r="I69" s="44">
        <v>2.13</v>
      </c>
      <c r="J69" s="46">
        <v>1.0831999999999999</v>
      </c>
      <c r="K69" s="47">
        <v>0.66039999999999999</v>
      </c>
      <c r="L69" s="49">
        <f>$H69*G69/(1+$J69)*(1+$K69)</f>
        <v>2596.6144299235157</v>
      </c>
      <c r="M69" s="49">
        <f>$G69*I69</f>
        <v>53.218303571428578</v>
      </c>
      <c r="O69" s="138">
        <f>L69+M69</f>
        <v>2649.8327334949445</v>
      </c>
      <c r="P69" s="93">
        <v>4</v>
      </c>
      <c r="Q69" s="92">
        <f>O69*P69*(1+ORÇAMENTO!G8)</f>
        <v>13037.177048795127</v>
      </c>
      <c r="S69">
        <v>18000</v>
      </c>
    </row>
    <row r="70" spans="1:19" x14ac:dyDescent="0.25">
      <c r="O70" s="93"/>
      <c r="P70" s="93"/>
      <c r="Q70" s="139">
        <f>SUM(Q67:Q69)</f>
        <v>189075.74772851868</v>
      </c>
    </row>
    <row r="71" spans="1:19" x14ac:dyDescent="0.25">
      <c r="L71" s="223"/>
    </row>
    <row r="72" spans="1:19" x14ac:dyDescent="0.25">
      <c r="L72" s="223"/>
    </row>
  </sheetData>
  <mergeCells count="1">
    <mergeCell ref="A1:J2"/>
  </mergeCells>
  <pageMargins left="0.31496062992125984" right="7.874015748031496E-2" top="0.47244094488188981" bottom="0.39370078740157483" header="0.27559055118110237" footer="0.19685039370078741"/>
  <pageSetup paperSize="9" scale="37" fitToHeight="6" orientation="portrait" r:id="rId1"/>
  <headerFooter>
    <oddFooter>&amp;CSUPERVISÃO DA OBRA DO FT DE TUBARÃO</oddFooter>
  </headerFooter>
  <ignoredErrors>
    <ignoredError sqref="F67:F68 G67:G6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26"/>
  <sheetViews>
    <sheetView zoomScale="85" zoomScaleNormal="85" workbookViewId="0">
      <selection activeCell="H22" sqref="H22:K26"/>
    </sheetView>
  </sheetViews>
  <sheetFormatPr defaultRowHeight="15" x14ac:dyDescent="0.25"/>
  <cols>
    <col min="1" max="1" width="15.42578125" customWidth="1"/>
    <col min="2" max="2" width="33.7109375" customWidth="1"/>
    <col min="3" max="3" width="11.140625" customWidth="1"/>
    <col min="4" max="4" width="30.5703125" customWidth="1"/>
    <col min="5" max="5" width="11.7109375" customWidth="1"/>
    <col min="6" max="6" width="94.85546875" customWidth="1"/>
  </cols>
  <sheetData>
    <row r="1" spans="1:8" ht="30.75" customHeight="1" x14ac:dyDescent="0.25">
      <c r="A1" s="154" t="s">
        <v>63</v>
      </c>
      <c r="B1" s="154" t="s">
        <v>5</v>
      </c>
      <c r="C1" s="154" t="s">
        <v>1</v>
      </c>
      <c r="D1" s="154" t="s">
        <v>89</v>
      </c>
      <c r="E1" s="154" t="s">
        <v>88</v>
      </c>
      <c r="F1" s="154" t="s">
        <v>64</v>
      </c>
      <c r="G1" s="96"/>
      <c r="H1" s="96"/>
    </row>
    <row r="2" spans="1:8" ht="19.5" hidden="1" customHeight="1" x14ac:dyDescent="0.25">
      <c r="A2" s="155" t="s">
        <v>60</v>
      </c>
      <c r="B2" s="156" t="s">
        <v>84</v>
      </c>
      <c r="C2" s="157" t="s">
        <v>47</v>
      </c>
      <c r="D2" s="158">
        <v>510</v>
      </c>
      <c r="E2" s="159">
        <f>D2</f>
        <v>510</v>
      </c>
      <c r="F2" s="160" t="s">
        <v>59</v>
      </c>
    </row>
    <row r="3" spans="1:8" ht="42.75" x14ac:dyDescent="0.25">
      <c r="A3" s="288" t="s">
        <v>80</v>
      </c>
      <c r="B3" s="287" t="s">
        <v>61</v>
      </c>
      <c r="C3" s="287" t="s">
        <v>73</v>
      </c>
      <c r="D3" s="159">
        <v>0.56000000000000005</v>
      </c>
      <c r="E3" s="289">
        <f>MEDIAN(D3:D5)</f>
        <v>0.7</v>
      </c>
      <c r="F3" s="160" t="s">
        <v>62</v>
      </c>
    </row>
    <row r="4" spans="1:8" x14ac:dyDescent="0.25">
      <c r="A4" s="288"/>
      <c r="B4" s="287"/>
      <c r="C4" s="287"/>
      <c r="D4" s="159">
        <v>0.7</v>
      </c>
      <c r="E4" s="289"/>
      <c r="F4" s="160" t="s">
        <v>65</v>
      </c>
    </row>
    <row r="5" spans="1:8" x14ac:dyDescent="0.25">
      <c r="A5" s="288"/>
      <c r="B5" s="287"/>
      <c r="C5" s="287"/>
      <c r="D5" s="159">
        <f>32/20</f>
        <v>1.6</v>
      </c>
      <c r="E5" s="289"/>
      <c r="F5" s="160" t="s">
        <v>66</v>
      </c>
    </row>
    <row r="6" spans="1:8" ht="23.25" customHeight="1" x14ac:dyDescent="0.25">
      <c r="A6" s="161" t="s">
        <v>81</v>
      </c>
      <c r="B6" s="156" t="s">
        <v>83</v>
      </c>
      <c r="C6" s="156" t="s">
        <v>73</v>
      </c>
      <c r="D6" s="159">
        <v>262.55</v>
      </c>
      <c r="E6" s="159">
        <f>D6</f>
        <v>262.55</v>
      </c>
      <c r="F6" s="160" t="s">
        <v>82</v>
      </c>
    </row>
    <row r="7" spans="1:8" ht="28.5" hidden="1" x14ac:dyDescent="0.25">
      <c r="A7" s="288" t="s">
        <v>101</v>
      </c>
      <c r="B7" s="287" t="s">
        <v>124</v>
      </c>
      <c r="C7" s="287" t="s">
        <v>73</v>
      </c>
      <c r="D7" s="159">
        <f>250+334</f>
        <v>584</v>
      </c>
      <c r="E7" s="291">
        <f>MEDIAN(D7:D8)</f>
        <v>513.5</v>
      </c>
      <c r="F7" s="160" t="s">
        <v>125</v>
      </c>
    </row>
    <row r="8" spans="1:8" ht="28.5" hidden="1" x14ac:dyDescent="0.25">
      <c r="A8" s="288"/>
      <c r="B8" s="287"/>
      <c r="C8" s="287"/>
      <c r="D8" s="159">
        <f>262+181</f>
        <v>443</v>
      </c>
      <c r="E8" s="291"/>
      <c r="F8" s="160" t="s">
        <v>126</v>
      </c>
    </row>
    <row r="9" spans="1:8" ht="57" hidden="1" x14ac:dyDescent="0.25">
      <c r="A9" s="288" t="s">
        <v>123</v>
      </c>
      <c r="B9" s="287" t="s">
        <v>128</v>
      </c>
      <c r="C9" s="287" t="s">
        <v>73</v>
      </c>
      <c r="D9" s="159">
        <f>131+35</f>
        <v>166</v>
      </c>
      <c r="E9" s="291">
        <f>MEDIAN(D9:D11)</f>
        <v>174.44</v>
      </c>
      <c r="F9" s="160" t="s">
        <v>129</v>
      </c>
    </row>
    <row r="10" spans="1:8" ht="85.5" hidden="1" x14ac:dyDescent="0.25">
      <c r="A10" s="288"/>
      <c r="B10" s="287"/>
      <c r="C10" s="287"/>
      <c r="D10" s="159">
        <f>149.9+52.97</f>
        <v>202.87</v>
      </c>
      <c r="E10" s="291"/>
      <c r="F10" s="160" t="s">
        <v>130</v>
      </c>
    </row>
    <row r="11" spans="1:8" ht="57" hidden="1" x14ac:dyDescent="0.25">
      <c r="A11" s="288"/>
      <c r="B11" s="287"/>
      <c r="C11" s="287"/>
      <c r="D11" s="159">
        <f>154.44+20</f>
        <v>174.44</v>
      </c>
      <c r="E11" s="291"/>
      <c r="F11" s="160" t="s">
        <v>131</v>
      </c>
    </row>
    <row r="12" spans="1:8" ht="71.25" hidden="1" x14ac:dyDescent="0.25">
      <c r="A12" s="292" t="s">
        <v>127</v>
      </c>
      <c r="B12" s="295" t="s">
        <v>185</v>
      </c>
      <c r="C12" s="295" t="s">
        <v>115</v>
      </c>
      <c r="D12" s="159">
        <v>90</v>
      </c>
      <c r="E12" s="289">
        <f>MEDIAN(D12:D15)</f>
        <v>90</v>
      </c>
      <c r="F12" s="160" t="s">
        <v>181</v>
      </c>
    </row>
    <row r="13" spans="1:8" hidden="1" x14ac:dyDescent="0.25">
      <c r="A13" s="293"/>
      <c r="B13" s="296"/>
      <c r="C13" s="296"/>
      <c r="D13" s="159">
        <v>120</v>
      </c>
      <c r="E13" s="289"/>
      <c r="F13" s="160" t="s">
        <v>182</v>
      </c>
    </row>
    <row r="14" spans="1:8" hidden="1" x14ac:dyDescent="0.25">
      <c r="A14" s="293"/>
      <c r="B14" s="296"/>
      <c r="C14" s="296"/>
      <c r="D14" s="159">
        <v>90</v>
      </c>
      <c r="E14" s="289"/>
      <c r="F14" s="160" t="s">
        <v>183</v>
      </c>
    </row>
    <row r="15" spans="1:8" ht="28.5" hidden="1" x14ac:dyDescent="0.25">
      <c r="A15" s="294"/>
      <c r="B15" s="297"/>
      <c r="C15" s="297"/>
      <c r="D15" s="159">
        <v>80</v>
      </c>
      <c r="E15" s="289"/>
      <c r="F15" s="160" t="s">
        <v>184</v>
      </c>
    </row>
    <row r="16" spans="1:8" hidden="1" x14ac:dyDescent="0.25">
      <c r="A16" s="171"/>
      <c r="B16" s="168"/>
      <c r="C16" s="167"/>
      <c r="D16" s="159"/>
      <c r="E16" s="169"/>
      <c r="F16" s="160"/>
    </row>
    <row r="17" spans="1:10" hidden="1" x14ac:dyDescent="0.25">
      <c r="A17" s="290"/>
      <c r="B17" s="298" t="s">
        <v>102</v>
      </c>
      <c r="C17" s="284" t="s">
        <v>46</v>
      </c>
      <c r="D17" s="159">
        <f>18.55</f>
        <v>18.55</v>
      </c>
      <c r="E17" s="289">
        <f>MEDIAN(D17:D20)</f>
        <v>16.350000000000001</v>
      </c>
      <c r="F17" s="160" t="s">
        <v>104</v>
      </c>
    </row>
    <row r="18" spans="1:10" hidden="1" x14ac:dyDescent="0.25">
      <c r="A18" s="290"/>
      <c r="B18" s="298"/>
      <c r="C18" s="285"/>
      <c r="D18" s="159">
        <v>16.350000000000001</v>
      </c>
      <c r="E18" s="289"/>
      <c r="F18" s="160" t="s">
        <v>105</v>
      </c>
    </row>
    <row r="19" spans="1:10" hidden="1" x14ac:dyDescent="0.25">
      <c r="A19" s="290"/>
      <c r="B19" s="298"/>
      <c r="C19" s="285"/>
      <c r="D19" s="159">
        <v>16.350000000000001</v>
      </c>
      <c r="E19" s="289"/>
      <c r="F19" s="160" t="s">
        <v>106</v>
      </c>
    </row>
    <row r="20" spans="1:10" hidden="1" x14ac:dyDescent="0.25">
      <c r="A20" s="290"/>
      <c r="B20" s="298"/>
      <c r="C20" s="286"/>
      <c r="D20" s="159">
        <v>16.3</v>
      </c>
      <c r="E20" s="289"/>
      <c r="F20" s="160" t="s">
        <v>103</v>
      </c>
    </row>
    <row r="22" spans="1:10" x14ac:dyDescent="0.25">
      <c r="H22">
        <v>640</v>
      </c>
      <c r="I22">
        <v>50</v>
      </c>
      <c r="J22" s="164">
        <f>I22/H22</f>
        <v>7.8125E-2</v>
      </c>
    </row>
    <row r="23" spans="1:10" x14ac:dyDescent="0.25">
      <c r="H23">
        <v>84</v>
      </c>
      <c r="I23">
        <v>10</v>
      </c>
      <c r="J23" s="164">
        <f t="shared" ref="J23:J26" si="0">I23/H23</f>
        <v>0.11904761904761904</v>
      </c>
    </row>
    <row r="24" spans="1:10" x14ac:dyDescent="0.25">
      <c r="H24">
        <v>7900</v>
      </c>
      <c r="I24">
        <v>200</v>
      </c>
      <c r="J24" s="164">
        <f t="shared" si="0"/>
        <v>2.5316455696202531E-2</v>
      </c>
    </row>
    <row r="25" spans="1:10" x14ac:dyDescent="0.25">
      <c r="H25">
        <v>480</v>
      </c>
      <c r="I25">
        <v>75</v>
      </c>
      <c r="J25" s="164">
        <f t="shared" si="0"/>
        <v>0.15625</v>
      </c>
    </row>
    <row r="26" spans="1:10" x14ac:dyDescent="0.25">
      <c r="H26">
        <v>326</v>
      </c>
      <c r="I26">
        <v>40</v>
      </c>
      <c r="J26" s="164">
        <f t="shared" si="0"/>
        <v>0.12269938650306748</v>
      </c>
    </row>
  </sheetData>
  <mergeCells count="20">
    <mergeCell ref="E3:E5"/>
    <mergeCell ref="A3:A5"/>
    <mergeCell ref="B3:B5"/>
    <mergeCell ref="A17:A20"/>
    <mergeCell ref="E7:E8"/>
    <mergeCell ref="A7:A8"/>
    <mergeCell ref="B7:B8"/>
    <mergeCell ref="C7:C8"/>
    <mergeCell ref="E9:E11"/>
    <mergeCell ref="A12:A15"/>
    <mergeCell ref="B12:B15"/>
    <mergeCell ref="C12:C15"/>
    <mergeCell ref="E12:E15"/>
    <mergeCell ref="B17:B20"/>
    <mergeCell ref="E17:E20"/>
    <mergeCell ref="C17:C20"/>
    <mergeCell ref="B9:B11"/>
    <mergeCell ref="C9:C11"/>
    <mergeCell ref="A9:A11"/>
    <mergeCell ref="C3:C5"/>
  </mergeCells>
  <pageMargins left="0.27559055118110237" right="0.27559055118110237" top="0.55118110236220474" bottom="0.78740157480314965" header="0.31496062992125984" footer="0.31496062992125984"/>
  <pageSetup paperSize="9" scale="61" orientation="landscape" r:id="rId1"/>
  <headerFooter>
    <oddFooter>&amp;CSUPERVISÃO DA OBRA DO FT DE TUBARÃO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H32"/>
  <sheetViews>
    <sheetView topLeftCell="A4" workbookViewId="0">
      <selection activeCell="A4" sqref="A4:E30"/>
    </sheetView>
  </sheetViews>
  <sheetFormatPr defaultRowHeight="15" x14ac:dyDescent="0.25"/>
  <cols>
    <col min="2" max="2" width="7.85546875" customWidth="1"/>
    <col min="3" max="3" width="33.85546875" customWidth="1"/>
  </cols>
  <sheetData>
    <row r="2" spans="2:8" x14ac:dyDescent="0.25">
      <c r="B2" s="1"/>
      <c r="C2" s="300"/>
      <c r="D2" s="300"/>
      <c r="E2" s="2"/>
    </row>
    <row r="3" spans="2:8" x14ac:dyDescent="0.25">
      <c r="B3" s="1"/>
      <c r="C3" s="3"/>
      <c r="D3" s="4"/>
      <c r="E3" s="2"/>
    </row>
    <row r="4" spans="2:8" x14ac:dyDescent="0.25">
      <c r="B4" s="301" t="s">
        <v>191</v>
      </c>
      <c r="C4" s="301"/>
      <c r="D4" s="301"/>
      <c r="E4" s="5"/>
    </row>
    <row r="5" spans="2:8" x14ac:dyDescent="0.25">
      <c r="B5" s="301"/>
      <c r="C5" s="301"/>
      <c r="D5" s="301"/>
      <c r="E5" s="6"/>
      <c r="H5" t="s">
        <v>56</v>
      </c>
    </row>
    <row r="6" spans="2:8" x14ac:dyDescent="0.25">
      <c r="B6" s="301"/>
      <c r="C6" s="301"/>
      <c r="D6" s="301"/>
      <c r="E6" s="7"/>
      <c r="H6" t="s">
        <v>55</v>
      </c>
    </row>
    <row r="7" spans="2:8" ht="30.75" thickBot="1" x14ac:dyDescent="0.3">
      <c r="B7" s="8" t="s">
        <v>5</v>
      </c>
      <c r="C7" s="9" t="s">
        <v>6</v>
      </c>
      <c r="D7" s="9" t="s">
        <v>7</v>
      </c>
      <c r="E7" s="7"/>
      <c r="F7">
        <v>119000</v>
      </c>
    </row>
    <row r="8" spans="2:8" ht="20.100000000000001" customHeight="1" x14ac:dyDescent="0.25">
      <c r="B8" s="10">
        <v>1</v>
      </c>
      <c r="C8" s="11" t="s">
        <v>8</v>
      </c>
      <c r="D8" s="12">
        <v>4.4999999999999998E-2</v>
      </c>
      <c r="E8" s="5"/>
      <c r="F8">
        <f>D8*F$7</f>
        <v>5355</v>
      </c>
    </row>
    <row r="9" spans="2:8" ht="20.100000000000001" customHeight="1" x14ac:dyDescent="0.25">
      <c r="B9" s="13">
        <v>2</v>
      </c>
      <c r="C9" s="14" t="s">
        <v>9</v>
      </c>
      <c r="D9" s="15">
        <v>8.0000000000000002E-3</v>
      </c>
      <c r="E9" s="5"/>
      <c r="F9">
        <f t="shared" ref="F9:F12" si="0">D9*F$7</f>
        <v>952</v>
      </c>
    </row>
    <row r="10" spans="2:8" ht="20.100000000000001" customHeight="1" x14ac:dyDescent="0.25">
      <c r="B10" s="13">
        <v>3</v>
      </c>
      <c r="C10" s="14" t="s">
        <v>10</v>
      </c>
      <c r="D10" s="15">
        <v>5.0000000000000001E-3</v>
      </c>
      <c r="E10" s="5"/>
      <c r="F10">
        <f t="shared" si="0"/>
        <v>595</v>
      </c>
    </row>
    <row r="11" spans="2:8" ht="20.100000000000001" customHeight="1" x14ac:dyDescent="0.25">
      <c r="B11" s="13">
        <v>4</v>
      </c>
      <c r="C11" s="14" t="s">
        <v>193</v>
      </c>
      <c r="D11" s="219">
        <v>0.01</v>
      </c>
      <c r="E11" s="5"/>
      <c r="F11">
        <f>D11*F$7</f>
        <v>1190</v>
      </c>
    </row>
    <row r="12" spans="2:8" ht="20.100000000000001" customHeight="1" x14ac:dyDescent="0.25">
      <c r="B12" s="13">
        <v>5</v>
      </c>
      <c r="C12" s="14" t="s">
        <v>11</v>
      </c>
      <c r="D12" s="15">
        <v>7.4999999999999997E-2</v>
      </c>
      <c r="E12" s="5"/>
      <c r="F12">
        <f t="shared" si="0"/>
        <v>8925</v>
      </c>
    </row>
    <row r="13" spans="2:8" ht="20.100000000000001" customHeight="1" thickBot="1" x14ac:dyDescent="0.3">
      <c r="B13" s="302">
        <v>6</v>
      </c>
      <c r="C13" s="14" t="s">
        <v>12</v>
      </c>
      <c r="D13" s="16">
        <f>SUM(D14:D17)</f>
        <v>6.6500000000000004E-2</v>
      </c>
      <c r="E13" s="5"/>
    </row>
    <row r="14" spans="2:8" ht="20.100000000000001" customHeight="1" thickBot="1" x14ac:dyDescent="0.3">
      <c r="B14" s="302"/>
      <c r="C14" s="17" t="s">
        <v>13</v>
      </c>
      <c r="D14" s="16">
        <v>6.4999999999999997E-3</v>
      </c>
      <c r="E14" s="5"/>
    </row>
    <row r="15" spans="2:8" ht="20.100000000000001" customHeight="1" thickBot="1" x14ac:dyDescent="0.3">
      <c r="B15" s="302"/>
      <c r="C15" s="17" t="s">
        <v>14</v>
      </c>
      <c r="D15" s="16">
        <v>0.03</v>
      </c>
      <c r="E15" s="5"/>
    </row>
    <row r="16" spans="2:8" ht="20.100000000000001" customHeight="1" thickBot="1" x14ac:dyDescent="0.3">
      <c r="B16" s="302"/>
      <c r="C16" s="17" t="s">
        <v>15</v>
      </c>
      <c r="D16" s="18">
        <v>0.03</v>
      </c>
      <c r="E16" s="19"/>
    </row>
    <row r="17" spans="2:8" ht="20.100000000000001" customHeight="1" thickBot="1" x14ac:dyDescent="0.3">
      <c r="B17" s="302"/>
      <c r="C17" s="20" t="s">
        <v>192</v>
      </c>
      <c r="D17" s="21">
        <v>0</v>
      </c>
      <c r="E17" s="6"/>
      <c r="H17" t="s">
        <v>189</v>
      </c>
    </row>
    <row r="18" spans="2:8" ht="15.75" x14ac:dyDescent="0.25">
      <c r="B18" s="303" t="s">
        <v>16</v>
      </c>
      <c r="C18" s="303"/>
      <c r="D18" s="22">
        <f>(((1+(D8+D10+0+D11))*(1+D9)*(1+D12))/(1-D13))-1</f>
        <v>0.23044027852169258</v>
      </c>
      <c r="E18" s="7"/>
    </row>
    <row r="19" spans="2:8" ht="16.5" thickBot="1" x14ac:dyDescent="0.3">
      <c r="B19" s="304" t="s">
        <v>17</v>
      </c>
      <c r="C19" s="304"/>
      <c r="D19" s="23">
        <v>0.23</v>
      </c>
      <c r="E19" s="7"/>
      <c r="H19" t="s">
        <v>194</v>
      </c>
    </row>
    <row r="20" spans="2:8" ht="15.75" thickBot="1" x14ac:dyDescent="0.3">
      <c r="B20" s="24"/>
      <c r="C20" s="24"/>
      <c r="D20" s="24"/>
      <c r="E20" s="6"/>
    </row>
    <row r="21" spans="2:8" x14ac:dyDescent="0.25">
      <c r="B21" s="305" t="s">
        <v>18</v>
      </c>
      <c r="C21" s="305"/>
      <c r="D21" s="305"/>
      <c r="E21" s="7"/>
    </row>
    <row r="22" spans="2:8" x14ac:dyDescent="0.25">
      <c r="B22" s="299" t="s">
        <v>19</v>
      </c>
      <c r="C22" s="299"/>
      <c r="D22" s="299"/>
      <c r="E22" s="6"/>
    </row>
    <row r="23" spans="2:8" x14ac:dyDescent="0.25">
      <c r="B23" s="25"/>
      <c r="C23" s="26"/>
      <c r="D23" s="27"/>
      <c r="E23" s="6"/>
    </row>
    <row r="24" spans="2:8" x14ac:dyDescent="0.25">
      <c r="B24" s="25"/>
      <c r="C24" s="26"/>
      <c r="D24" s="27"/>
      <c r="E24" s="6"/>
    </row>
    <row r="25" spans="2:8" x14ac:dyDescent="0.25">
      <c r="B25" s="25"/>
      <c r="C25" s="26"/>
      <c r="D25" s="27"/>
      <c r="E25" s="6"/>
    </row>
    <row r="26" spans="2:8" x14ac:dyDescent="0.25">
      <c r="B26" s="25"/>
      <c r="C26" s="26"/>
      <c r="D26" s="27"/>
      <c r="E26" s="6"/>
    </row>
    <row r="27" spans="2:8" x14ac:dyDescent="0.25">
      <c r="B27" s="5"/>
      <c r="C27" s="28"/>
      <c r="D27" s="28"/>
      <c r="E27" s="6"/>
    </row>
    <row r="28" spans="2:8" x14ac:dyDescent="0.25">
      <c r="B28" s="5"/>
      <c r="C28" s="28"/>
      <c r="D28" s="28"/>
      <c r="E28" s="6"/>
    </row>
    <row r="29" spans="2:8" x14ac:dyDescent="0.25">
      <c r="B29" s="5"/>
      <c r="C29" s="28"/>
      <c r="D29" s="28"/>
      <c r="E29" s="6"/>
    </row>
    <row r="30" spans="2:8" x14ac:dyDescent="0.25">
      <c r="B30" s="5"/>
      <c r="C30" s="28"/>
      <c r="D30" s="28"/>
      <c r="E30" s="6"/>
    </row>
    <row r="31" spans="2:8" x14ac:dyDescent="0.25">
      <c r="B31" s="29"/>
      <c r="C31" s="30"/>
      <c r="D31" s="30"/>
      <c r="E31" s="6"/>
    </row>
    <row r="32" spans="2:8" x14ac:dyDescent="0.25">
      <c r="B32" s="31"/>
      <c r="C32" s="32"/>
      <c r="D32" s="32"/>
      <c r="E32" s="32"/>
    </row>
  </sheetData>
  <mergeCells count="7">
    <mergeCell ref="B22:D22"/>
    <mergeCell ref="C2:D2"/>
    <mergeCell ref="B4:D6"/>
    <mergeCell ref="B13:B17"/>
    <mergeCell ref="B18:C18"/>
    <mergeCell ref="B19:C19"/>
    <mergeCell ref="B21:D21"/>
  </mergeCells>
  <conditionalFormatting sqref="D18:D19">
    <cfRule type="cellIs" dxfId="2" priority="1" operator="equal">
      <formula>#REF!</formula>
    </cfRule>
    <cfRule type="cellIs" dxfId="1" priority="2" operator="lessThanOrEqual">
      <formula>#REF!</formula>
    </cfRule>
    <cfRule type="cellIs" dxfId="0" priority="3" operator="greaterThan">
      <formula>#REF!</formula>
    </cfRule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&amp;CSUPERVISÃO DA OBRA DO FT DE TUBARÃO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"/>
  <sheetViews>
    <sheetView tabSelected="1" workbookViewId="0">
      <selection activeCell="M31" sqref="M31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5</vt:i4>
      </vt:variant>
    </vt:vector>
  </HeadingPairs>
  <TitlesOfParts>
    <vt:vector size="11" baseType="lpstr">
      <vt:lpstr>ORÇAMENTO</vt:lpstr>
      <vt:lpstr>CRONOGRAMA</vt:lpstr>
      <vt:lpstr>COMPOSIÇÕES</vt:lpstr>
      <vt:lpstr>COTAÇÕES</vt:lpstr>
      <vt:lpstr>BDI</vt:lpstr>
      <vt:lpstr>ENCARGOS SOCIAIS</vt:lpstr>
      <vt:lpstr>CRONOGRAMA!Area_de_impressao</vt:lpstr>
      <vt:lpstr>ORÇAMENTO!Area_de_impressao</vt:lpstr>
      <vt:lpstr>COMPOSIÇÕES!Titulos_de_impressao</vt:lpstr>
      <vt:lpstr>CRONOGRAMA!Titulos_de_impressao</vt:lpstr>
      <vt:lpstr>ORÇAMENTO!Titulos_de_impressao</vt:lpstr>
    </vt:vector>
  </TitlesOfParts>
  <Company>TRTSC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Adalberto Knoth</dc:creator>
  <cp:lastModifiedBy>Lurin Mendes Macedo de Vasconcellos Dias</cp:lastModifiedBy>
  <cp:lastPrinted>2024-06-06T16:26:44Z</cp:lastPrinted>
  <dcterms:created xsi:type="dcterms:W3CDTF">2023-12-07T16:17:40Z</dcterms:created>
  <dcterms:modified xsi:type="dcterms:W3CDTF">2024-06-07T21:38:53Z</dcterms:modified>
</cp:coreProperties>
</file>