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" sheetId="1" r:id="rId4"/>
    <sheet state="hidden" name="EXEQUIBILIDADE" sheetId="2" r:id="rId5"/>
    <sheet state="hidden" name="AUX" sheetId="3" r:id="rId6"/>
    <sheet state="hidden" name="RESUMO + FATOR AJUSTE" sheetId="4" r:id="rId7"/>
    <sheet state="hidden" name="Custo Catálogo Serviço" sheetId="5" r:id="rId8"/>
    <sheet state="hidden" name="USTs Catalogo" sheetId="6" r:id="rId9"/>
    <sheet state="hidden" name="VALOR UST" sheetId="7" r:id="rId10"/>
  </sheets>
  <definedNames>
    <definedName name="MODULO_1">MODELO!$H$43</definedName>
    <definedName name="MODULO_6">MODELO!$H$145</definedName>
    <definedName name="DIAS_TRABALHADOS">MODELO!$G$32</definedName>
    <definedName name="MODULO_4.2">MODELO!$H$115</definedName>
    <definedName name="MODULO_4">MODELO!$H$121</definedName>
    <definedName name="MODULO_2.2">MODELO!$H$63</definedName>
    <definedName name="MODULO_5">MODELO!$H$131</definedName>
    <definedName name="MODULO_2.1">MODELO!$H$50</definedName>
    <definedName name="LUCRO">MODELO!$H$138</definedName>
    <definedName name="PERCENT_MODULO_4.1">MODELO!$G$110</definedName>
    <definedName name="MODULO_3">MODELO!$H$99</definedName>
    <definedName name="MODULO_2.4">MODELO!$H$81</definedName>
    <definedName name="PERCENT_MODULO_2.2">MODELO!$G$63</definedName>
    <definedName name="MODULO_2">MODELO!$H$89</definedName>
    <definedName name="MODULO_4.1">MODELO!$H$110</definedName>
    <definedName name="SAL_MINIMO">AUX!$B$8</definedName>
    <definedName name="PERCENT_MODULO_3">MODELO!$G$99</definedName>
    <definedName name="VALOR_POSTO">MODELO!$H$157</definedName>
    <definedName name="PERICULOSIDADE">MODELO!$H$38</definedName>
    <definedName name="PERCENT_MODULO_2.1">MODELO!$G$50</definedName>
    <definedName name="MODULO_2.3">MODELO!$H$76</definedName>
    <definedName name="EMPREG_POR_POSTO">MODELO!$E$157</definedName>
    <definedName name="SALARIO_BASE">MODELO!$H$37</definedName>
    <definedName name="CUSTO_INDIRETO">MODELO!$H$137</definedName>
  </definedNames>
  <calcPr/>
  <extLst>
    <ext uri="GoogleSheetsCustomDataVersion2">
      <go:sheetsCustomData xmlns:go="http://customooxmlschemas.google.com/" r:id="rId11" roundtripDataChecksum="YZBOTgQ79slEE57bDVRlmxyDpPov4/C7odX90SROWsg="/>
    </ext>
  </extLst>
</workbook>
</file>

<file path=xl/sharedStrings.xml><?xml version="1.0" encoding="utf-8"?>
<sst xmlns="http://schemas.openxmlformats.org/spreadsheetml/2006/main" count="330" uniqueCount="216">
  <si>
    <t>PROPOSTA</t>
  </si>
  <si>
    <t>PLANILHA DE CUSTOS E FORMAÇÃO DE PREÇOS</t>
  </si>
  <si>
    <t>Informações Gerais</t>
  </si>
  <si>
    <r>
      <rPr>
        <rFont val="Arial"/>
        <b/>
        <color theme="1"/>
        <sz val="8.0"/>
      </rPr>
      <t>Órgão Licitante:</t>
    </r>
    <r>
      <rPr>
        <rFont val="Arial"/>
        <b/>
        <color rgb="FF0000FF"/>
        <sz val="8.0"/>
      </rPr>
      <t xml:space="preserve"> TRIBUNAL REGIONAL DO TRABALHO DA 12ª REGIÃO</t>
    </r>
  </si>
  <si>
    <t>Nº do Processo: 9796/2025</t>
  </si>
  <si>
    <t>Licitação nº :</t>
  </si>
  <si>
    <t xml:space="preserve">Razão Social: </t>
  </si>
  <si>
    <t>CNPJ:</t>
  </si>
  <si>
    <t>Endereço Comercial:</t>
  </si>
  <si>
    <t>Bairro:</t>
  </si>
  <si>
    <r>
      <rPr>
        <rFont val="Arial"/>
        <color theme="1"/>
        <sz val="8.0"/>
      </rPr>
      <t>Cidade:</t>
    </r>
    <r>
      <rPr>
        <rFont val="Arial"/>
        <color rgb="FF0000FF"/>
        <sz val="8.0"/>
      </rPr>
      <t xml:space="preserve"> FLORIANÓPOLIS</t>
    </r>
  </si>
  <si>
    <r>
      <rPr>
        <rFont val="Arial"/>
        <color theme="1"/>
        <sz val="8.0"/>
      </rPr>
      <t>Estado:</t>
    </r>
    <r>
      <rPr>
        <rFont val="Arial"/>
        <color rgb="FF0000FF"/>
        <sz val="8.0"/>
      </rPr>
      <t xml:space="preserve"> SC</t>
    </r>
  </si>
  <si>
    <t>CEP:</t>
  </si>
  <si>
    <t>Telefone:</t>
  </si>
  <si>
    <t>Email:</t>
  </si>
  <si>
    <t>Validade da Proposta: 60 dias</t>
  </si>
  <si>
    <t>Discriminação dos Serviços (dados referentes à contratação)</t>
  </si>
  <si>
    <t>A</t>
  </si>
  <si>
    <t>Data de apresentação da proposta (dia/mês/ano):</t>
  </si>
  <si>
    <t>B</t>
  </si>
  <si>
    <t>Município/UF (onde o serviço será prestado):</t>
  </si>
  <si>
    <t>FLORIANÓPOLIS / SC</t>
  </si>
  <si>
    <t>C</t>
  </si>
  <si>
    <t>Acordo, Convenção ou Sentença em Dissídio Coletivo:</t>
  </si>
  <si>
    <t>SC000767/2025</t>
  </si>
  <si>
    <t>D</t>
  </si>
  <si>
    <t>Nº de meses da execução contratual:</t>
  </si>
  <si>
    <t>Identificação do Serviço</t>
  </si>
  <si>
    <t>Tipo de Serviço/Carga Horária</t>
  </si>
  <si>
    <t>Empregados por Posto</t>
  </si>
  <si>
    <t>Unidade de Medida</t>
  </si>
  <si>
    <t>Qtdade. Total a Contratar
(Nº de Postos)</t>
  </si>
  <si>
    <t>Posto de Trabalho de DESIGNER GRÁFICO
– 30 horas semanais</t>
  </si>
  <si>
    <t>Posto de Serviço</t>
  </si>
  <si>
    <t>Mão de Obra</t>
  </si>
  <si>
    <t>Mão de Obra Vinculada à Execução Contratual</t>
  </si>
  <si>
    <t>Dados Complementares para Composição dos Custos Referentes à Mão de Obra</t>
  </si>
  <si>
    <t>Tipo de serviço (descrição resumida):</t>
  </si>
  <si>
    <t>DESIGNER GRÁFICO</t>
  </si>
  <si>
    <t>Classificação Brasileira de Ocupações (CBO):</t>
  </si>
  <si>
    <t>Salário Normativo da Categoria Profissional:</t>
  </si>
  <si>
    <t>Categoria Profissional (vinculada à execução contratual):</t>
  </si>
  <si>
    <t>Designer gráfico</t>
  </si>
  <si>
    <t>E</t>
  </si>
  <si>
    <t>Data-Base da Categoria (dia/mês):</t>
  </si>
  <si>
    <t>F</t>
  </si>
  <si>
    <t>Dias Trabalhados no Mês:</t>
  </si>
  <si>
    <t>G</t>
  </si>
  <si>
    <t>Local de Execução dos Serviços:</t>
  </si>
  <si>
    <t>SEDE DO TRIBUNAL REGIONAL DO TRABALHO DA 12ª REGIÃO - FLORIANÓPOLIS/SC</t>
  </si>
  <si>
    <t>MÓDULO 1: COMPOSIÇÃO DA REMUNERAÇÃO</t>
  </si>
  <si>
    <t>Rubrica</t>
  </si>
  <si>
    <t>Percentual (%)</t>
  </si>
  <si>
    <t>Valor (R$)</t>
  </si>
  <si>
    <t>Salário-Base:</t>
  </si>
  <si>
    <t>Adicional de Periculosidade:</t>
  </si>
  <si>
    <t>NÃO</t>
  </si>
  <si>
    <t>Adicional de Insalubridade:</t>
  </si>
  <si>
    <t>SALÁRIO-BASE</t>
  </si>
  <si>
    <t>Adicional Noturno:</t>
  </si>
  <si>
    <t>Adicional de Hora Noturna Reduzida:</t>
  </si>
  <si>
    <t>Outros (especificar):</t>
  </si>
  <si>
    <t>Total da Remuneração:</t>
  </si>
  <si>
    <t>MÓDULO 2: ENCARGOS E BENEFÍCIOS ANUAIS, MENSAIS E DIÁRIOS</t>
  </si>
  <si>
    <t xml:space="preserve">SUBMÓDULO 2.1: 13º Salário, Férias e Adicional de Férias </t>
  </si>
  <si>
    <t>13º Salário:</t>
  </si>
  <si>
    <t>Férias e Adicional de Férias:</t>
  </si>
  <si>
    <t>Subtotal:</t>
  </si>
  <si>
    <r>
      <rPr>
        <rFont val="Arial"/>
        <b/>
        <color theme="1"/>
        <sz val="9.0"/>
      </rPr>
      <t xml:space="preserve">SUBMÓDULO 2.2: GPS, FGTS e Outras Contribuições </t>
    </r>
    <r>
      <rPr>
        <rFont val="Arial"/>
        <b/>
        <color rgb="FFFF0000"/>
        <sz val="9.0"/>
      </rPr>
      <t>(Incide sobre os Módulos 1 e 2.1)</t>
    </r>
  </si>
  <si>
    <t>INSS:</t>
  </si>
  <si>
    <t>DESONERAÇÃO FOLHA DE PAGAMENTO:</t>
  </si>
  <si>
    <t>Salário Educação:</t>
  </si>
  <si>
    <t>Seguro Acidente de Trabalho:</t>
  </si>
  <si>
    <t xml:space="preserve"> RAT x FAP ; utilizar o FAP efetivo conforme GFIP ou FAP-WEB</t>
  </si>
  <si>
    <t>RAT = 3%</t>
  </si>
  <si>
    <t xml:space="preserve">FAP = </t>
  </si>
  <si>
    <t>SESI ou SESC:</t>
  </si>
  <si>
    <t>SENAI ou SENAC:</t>
  </si>
  <si>
    <t>SEBRAE:</t>
  </si>
  <si>
    <t>INCRA:</t>
  </si>
  <si>
    <t>H</t>
  </si>
  <si>
    <t>FGTS:</t>
  </si>
  <si>
    <t>SUBMÓDULO 2.3: Benefícios Mensais e Diários</t>
  </si>
  <si>
    <t>Valor unitário (R$)</t>
  </si>
  <si>
    <t>Valor Mensal (R$)</t>
  </si>
  <si>
    <t>Transporte:</t>
  </si>
  <si>
    <t>Valor Ticket:</t>
  </si>
  <si>
    <t>(-) Desconto Auxílio Transporte:</t>
  </si>
  <si>
    <t>Auxílio Alimentação/Refeição:</t>
  </si>
  <si>
    <t>R$ 400,00/mês</t>
  </si>
  <si>
    <t>(-) Desconto Auxílio Alimentação/Refeição:</t>
  </si>
  <si>
    <t>Assistência Médica, Odontológica e Familiar:</t>
  </si>
  <si>
    <t>-</t>
  </si>
  <si>
    <t>Seguros de Vida, Invalidez e Funeral:</t>
  </si>
  <si>
    <t>Prêmio Assiduidade</t>
  </si>
  <si>
    <t>SUBMÓDULO 2.4: Intervalo Intrajornada do Titular</t>
  </si>
  <si>
    <t>Intervalo Intrajornada</t>
  </si>
  <si>
    <t>QUADRO-RESUMO DO MÓDULO 2: ENCARGOS E BENEFÍCIOS ANUAIS, MENSAIS E DIÁRIOS</t>
  </si>
  <si>
    <t>13º Salário, Férias e Adicional de Férias:</t>
  </si>
  <si>
    <t>GPS, FGTS e Outras Contribuições:</t>
  </si>
  <si>
    <t>Benefícios Mensais e Diários:</t>
  </si>
  <si>
    <t>Intervalo Intrajornada do Titular:</t>
  </si>
  <si>
    <t>Total:</t>
  </si>
  <si>
    <t>MÓDULO 3: PROVISÃO PARA RESCISÃO</t>
  </si>
  <si>
    <t>Aviso Prévio Indenizado:</t>
  </si>
  <si>
    <t>Incidência do FGTS sobre o Aviso Prévio Indenizado:</t>
  </si>
  <si>
    <r>
      <rPr>
        <rFont val="Arial"/>
        <color theme="1"/>
        <sz val="8.0"/>
      </rPr>
      <t xml:space="preserve">Multa do FGTS </t>
    </r>
    <r>
      <rPr>
        <rFont val="Arial"/>
        <strike/>
        <color theme="1"/>
        <sz val="8.0"/>
      </rPr>
      <t>e Contribuição Social</t>
    </r>
    <r>
      <rPr>
        <rFont val="Arial"/>
        <color theme="1"/>
        <sz val="8.0"/>
      </rPr>
      <t xml:space="preserve"> sobre o Aviso Prévio Indenizado:</t>
    </r>
  </si>
  <si>
    <t>Aviso Prévio Trabalhado:</t>
  </si>
  <si>
    <t>Incidência do Submódulo 2.2 sobre o Aviso Prévio Trabalhado:</t>
  </si>
  <si>
    <r>
      <rPr>
        <rFont val="Arial"/>
        <color theme="1"/>
        <sz val="8.0"/>
      </rPr>
      <t xml:space="preserve">Multa do FGTS </t>
    </r>
    <r>
      <rPr>
        <rFont val="Arial"/>
        <strike/>
        <color theme="1"/>
        <sz val="8.0"/>
      </rPr>
      <t>e Contribuição Social</t>
    </r>
    <r>
      <rPr>
        <rFont val="Arial"/>
        <color theme="1"/>
        <sz val="8.0"/>
      </rPr>
      <t xml:space="preserve"> sobre o Aviso Prévio Trabalhado:</t>
    </r>
  </si>
  <si>
    <t>MÓDULO 4: CUSTO DE REPOSIÇÃO DO PROFISSIONAL AUSENTE</t>
  </si>
  <si>
    <t>SUBMÓDULO 4.1: Substituto nas Ausências Legais</t>
  </si>
  <si>
    <t>Substituto na Cobertura de Férias:</t>
  </si>
  <si>
    <t>Substituto na Cobertura de Ausências Legais:</t>
  </si>
  <si>
    <t>Substituto na Cobertura de Licença-Paternidade:</t>
  </si>
  <si>
    <t>Substituto na Cobertura de Ausência por Acidente de Trabalho:</t>
  </si>
  <si>
    <t>Substituto na Cobertura de Afastamento Maternidade:</t>
  </si>
  <si>
    <t>Substituto na Cobertura de Outras Ausências (doença):</t>
  </si>
  <si>
    <t>SUBMÓDULO 4.2: Substituto na Intrajornada</t>
  </si>
  <si>
    <t>Substituto na Cobertura de Intervalo para Repouso ou Alimentação:</t>
  </si>
  <si>
    <t>QUADRO-RESUMO DO MÓDULO 4: CUSTO DE REPOSIÇÃO DO PROFISSIONAL AUSENTE</t>
  </si>
  <si>
    <t>Substituto nas Ausências Legais:</t>
  </si>
  <si>
    <t>Substituto na Intrajornada:</t>
  </si>
  <si>
    <t>Total</t>
  </si>
  <si>
    <t>MÓDULO 5: INSUMOS DIVERSOS</t>
  </si>
  <si>
    <t>Uniformes:</t>
  </si>
  <si>
    <t>Materiais:</t>
  </si>
  <si>
    <t>Equipamentos (depreciação):</t>
  </si>
  <si>
    <t>TOTAL DE ENCARGOS:</t>
  </si>
  <si>
    <t>MÓDULO 6: CUSTOS INDIRETOS, TRIBUTOS E LUCRO</t>
  </si>
  <si>
    <t>Custos Indiretos:</t>
  </si>
  <si>
    <t>Lucro:</t>
  </si>
  <si>
    <t>C.1</t>
  </si>
  <si>
    <t>Tributos Federais:</t>
  </si>
  <si>
    <t>Regime Tributário:</t>
  </si>
  <si>
    <t>LUCRO REAL</t>
  </si>
  <si>
    <t>C.1.A</t>
  </si>
  <si>
    <t>PIS:</t>
  </si>
  <si>
    <t>C.1.B</t>
  </si>
  <si>
    <t>COFINS:</t>
  </si>
  <si>
    <t>C.1.C</t>
  </si>
  <si>
    <t>C.3</t>
  </si>
  <si>
    <t>Tributos Municipais:</t>
  </si>
  <si>
    <t>C.3.A</t>
  </si>
  <si>
    <t>ISS:</t>
  </si>
  <si>
    <t>QUADRO-RESUMO DO CUSTO POR EMPREGADO</t>
  </si>
  <si>
    <t>Mão-de-Obra Vinculada à Execução Contratual (valor por empregado)</t>
  </si>
  <si>
    <t>Módulo 1 - Composição da Remuneração:</t>
  </si>
  <si>
    <t>Módulo 2 - Encargos e Benefícios Anuais, Mensais e Diários:</t>
  </si>
  <si>
    <t>Módulo 3 - Provisão para Rescisão:</t>
  </si>
  <si>
    <t>Módulo 4: Custo de Reposição do Profissional Ausente:</t>
  </si>
  <si>
    <t>Módulo 5: insumos Diversos:</t>
  </si>
  <si>
    <t>Subtotal (A + B + C + D + E):</t>
  </si>
  <si>
    <t>Módulo 6 - Custos Indiretos, Tributos e Lucro:</t>
  </si>
  <si>
    <t>VALOR MENSAL TOTAL POR EMPREGADO:</t>
  </si>
  <si>
    <t>EMPREGADOS POR POSTO:</t>
  </si>
  <si>
    <t>VALOR MENSAL TOTAL POR POSTO:</t>
  </si>
  <si>
    <t>QUANTIDADE DE POSTOS:</t>
  </si>
  <si>
    <t>VALOR MENSAL DO CONTRATO:</t>
  </si>
  <si>
    <t>VALOR TOTAL DO CONTRATO:</t>
  </si>
  <si>
    <t>ANÁLISA DA EXEQUIBILIDADE DA PROPOSTA (POR POSTO DE TRABALHO)</t>
  </si>
  <si>
    <t>VALOR DA NOTA FISCAL</t>
  </si>
  <si>
    <t>(-) INSS RETENÇÃO NA FONTE</t>
  </si>
  <si>
    <t>(-) TRIBUTOS FEDERAIS (IRPJ, CSLL, PIS, COFINS)</t>
  </si>
  <si>
    <t>(-) ISS</t>
  </si>
  <si>
    <t>(-) RETENÇÃO 13º NA CONTA VINCULADA</t>
  </si>
  <si>
    <t>(-) RETENÇÃO FÉRIAS NA CONTA VINCULADA</t>
  </si>
  <si>
    <t>(-) MULTA FGTS NA CONTA VINCULADA</t>
  </si>
  <si>
    <t>(-) RETENÇÃO DA INCIDÊNCIA DO SUBMÓDULO 2.2 NA CONTA VINCULADA</t>
  </si>
  <si>
    <t>(-) OBRIGAÇÕES SUBMÓDULO 2.2 B a H</t>
  </si>
  <si>
    <t>(+) INSS SUBMÓDULO 2.2 (JÁ RETEVE NA FONTE EM A4)</t>
  </si>
  <si>
    <t>(=) SALDO PARCIAL</t>
  </si>
  <si>
    <t>(-) MÓDULO 1</t>
  </si>
  <si>
    <t>(-) SUBMÓDULO 2.3</t>
  </si>
  <si>
    <t>(=) VALOR LÍQUIDO PARA A EMPRESA MENSALMENTE (POR POSTO DE TRABALHO)</t>
  </si>
  <si>
    <t>ABAIXO DE 5% SOLICITAR QUE A EMPRESA DEMONSTRE A EXEQUIBILIDADE (INDÍCIOS DE INEXEQUIBILIDADE);
ELA SÓ VAI TER COMO DEMONSTRAR SE CONSIDERAR OS OUTROS CONTRATOS;
PODEMOS DILIGENCIAR OS OUTROS CONTRATOS, PARA VER SE A FIRMA EXECUTA BEM OS OUTROS CONTRATOS;
MAS, SE ALGUÉM NAO PAGAR OS OUTROS CONTRATOS OU ELA PERDER UM DELES, PODE PREJUDICAR O NOSSO;
NA RENOVAÇAO, VERIFICAR BALANÇO, DRE, CCL, CONTRATOS, RELAÇAO CONTRATOS COM PL.</t>
  </si>
  <si>
    <t>INSALUBRIDADE</t>
  </si>
  <si>
    <t>DIAS TRABALHADOS NO MÊS</t>
  </si>
  <si>
    <t>GRAU</t>
  </si>
  <si>
    <t>PERCENTUAL</t>
  </si>
  <si>
    <t>12x36</t>
  </si>
  <si>
    <t>MÁXIMO</t>
  </si>
  <si>
    <t>SEG-SEX 40H</t>
  </si>
  <si>
    <t>MÉDIO</t>
  </si>
  <si>
    <t>GENÉRICO</t>
  </si>
  <si>
    <t>MÍNIMO</t>
  </si>
  <si>
    <t>SEG-SAB 44H</t>
  </si>
  <si>
    <t>365/12</t>
  </si>
  <si>
    <t>SALÁRIO MÍNIMO</t>
  </si>
  <si>
    <t>QTDADE</t>
  </si>
  <si>
    <t>CUSTO MENSAL</t>
  </si>
  <si>
    <t>CUSTO / HORA</t>
  </si>
  <si>
    <t>CUSTO ANUAL</t>
  </si>
  <si>
    <t>FATOR K</t>
  </si>
  <si>
    <t>FATOR AJUSTE</t>
  </si>
  <si>
    <t>SERVIÇO</t>
  </si>
  <si>
    <t>CUSTO HORA</t>
  </si>
  <si>
    <t>COMPLEXIDADE</t>
  </si>
  <si>
    <t>QTDADE HORAS</t>
  </si>
  <si>
    <t>QTDADE EXECUÇOES 12 MESES</t>
  </si>
  <si>
    <t>CUSTO UNITÁRIO SERVIÇO</t>
  </si>
  <si>
    <t>CUSTO TOTAL SERVIÇO</t>
  </si>
  <si>
    <t>SERVIÇO 1</t>
  </si>
  <si>
    <t>ALTA</t>
  </si>
  <si>
    <t>SERVIÇO 2</t>
  </si>
  <si>
    <t>MÉDIA</t>
  </si>
  <si>
    <t>SERVIÇO N</t>
  </si>
  <si>
    <t>CUSTO TOTAL DO CATÁLOGO</t>
  </si>
  <si>
    <t>QTDADE UST</t>
  </si>
  <si>
    <t>QTDADE ANUAL UST AJUSTADO</t>
  </si>
  <si>
    <t>CUSTO TOTAL ESTIMADO</t>
  </si>
  <si>
    <t>QTDADE UST AJUSTADA</t>
  </si>
  <si>
    <t>$ UST REFERÊNCIA</t>
  </si>
  <si>
    <t>PRODUTIVIDADE UST</t>
  </si>
  <si>
    <t>$ TOTAL UST</t>
  </si>
  <si>
    <t>$ TOTAL EMPREGADOS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</si>
</sst>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#,##0.00;(#,##0.00)"/>
    <numFmt numFmtId="165" formatCode="dd/MM/yyyy"/>
    <numFmt numFmtId="166" formatCode="yyyy-m"/>
    <numFmt numFmtId="167" formatCode="[$R$ -416]#,##0.00"/>
    <numFmt numFmtId="168" formatCode="d.m"/>
    <numFmt numFmtId="169" formatCode="0.0000"/>
    <numFmt numFmtId="170" formatCode="0.000%"/>
    <numFmt numFmtId="171" formatCode="* #,##0.00\ ;* \(#,##0.00\);* \-#\ ;@\ "/>
    <numFmt numFmtId="172" formatCode="* #,##0.0000\ ;* \(#,##0.0000\);* \-#.00\ ;@\ "/>
    <numFmt numFmtId="173" formatCode="#,##0.0000"/>
    <numFmt numFmtId="174" formatCode="#,##0.00_);[Red](#,##0.00)"/>
  </numFmts>
  <fonts count="18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sz val="9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b/>
      <sz val="8.0"/>
      <color rgb="FFFF0000"/>
      <name val="Arial"/>
    </font>
    <font>
      <sz val="8.0"/>
      <color rgb="FF0000FF"/>
      <name val="Arial"/>
    </font>
    <font>
      <sz val="7.0"/>
      <color rgb="FF0000FF"/>
      <name val="Arial"/>
    </font>
    <font>
      <b/>
      <sz val="8.0"/>
      <color rgb="FF0000FF"/>
      <name val="Arial"/>
    </font>
    <font>
      <b/>
      <sz val="6.0"/>
      <color theme="1"/>
      <name val="Arial"/>
    </font>
    <font>
      <sz val="8.0"/>
      <color rgb="FFFF0000"/>
      <name val="Arial"/>
    </font>
    <font>
      <sz val="10.0"/>
      <color rgb="FF0000FF"/>
      <name val="Arial"/>
    </font>
    <font>
      <b/>
      <sz val="10.0"/>
      <color rgb="FF0000FF"/>
      <name val="Arial"/>
    </font>
    <font>
      <b/>
      <sz val="10.0"/>
      <color theme="1"/>
      <name val="Arial"/>
    </font>
    <font>
      <b/>
      <sz val="10.0"/>
      <color theme="5"/>
      <name val="Arial"/>
    </font>
    <font>
      <b/>
      <sz val="12.0"/>
      <color theme="5"/>
      <name val="Arial"/>
    </font>
    <font/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  <fill>
      <patternFill patternType="solid">
        <fgColor rgb="FFD9D9D9"/>
        <bgColor rgb="FFD9D9D9"/>
      </patternFill>
    </fill>
    <fill>
      <patternFill patternType="solid">
        <fgColor rgb="FFFFD966"/>
        <bgColor rgb="FFFFD966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2" fontId="2" numFmtId="0" xfId="0" applyAlignment="1" applyFill="1" applyFont="1">
      <alignment horizontal="center"/>
    </xf>
    <xf borderId="0" fillId="2" fontId="3" numFmtId="0" xfId="0" applyAlignment="1" applyFont="1">
      <alignment horizontal="center"/>
    </xf>
    <xf borderId="0" fillId="3" fontId="4" numFmtId="0" xfId="0" applyFill="1" applyFont="1"/>
    <xf borderId="0" fillId="4" fontId="4" numFmtId="0" xfId="0" applyFill="1" applyFont="1"/>
    <xf borderId="0" fillId="3" fontId="5" numFmtId="0" xfId="0" applyFont="1"/>
    <xf borderId="0" fillId="4" fontId="5" numFmtId="0" xfId="0" applyFont="1"/>
    <xf borderId="0" fillId="0" fontId="2" numFmtId="0" xfId="0" applyFont="1"/>
    <xf borderId="0" fillId="2" fontId="4" numFmtId="0" xfId="0" applyAlignment="1" applyFont="1">
      <alignment horizontal="left"/>
    </xf>
    <xf borderId="0" fillId="2" fontId="6" numFmtId="0" xfId="0" applyAlignment="1" applyFont="1">
      <alignment horizontal="right"/>
    </xf>
    <xf borderId="0" fillId="4" fontId="5" numFmtId="0" xfId="0" applyAlignment="1" applyFont="1">
      <alignment horizontal="center"/>
    </xf>
    <xf borderId="0" fillId="4" fontId="5" numFmtId="0" xfId="0" applyAlignment="1" applyFont="1">
      <alignment horizontal="left"/>
    </xf>
    <xf borderId="0" fillId="4" fontId="7" numFmtId="165" xfId="0" applyAlignment="1" applyFont="1" applyNumberFormat="1">
      <alignment horizontal="center"/>
    </xf>
    <xf borderId="0" fillId="3" fontId="5" numFmtId="0" xfId="0" applyAlignment="1" applyFont="1">
      <alignment horizontal="center"/>
    </xf>
    <xf borderId="0" fillId="3" fontId="5" numFmtId="0" xfId="0" applyAlignment="1" applyFont="1">
      <alignment horizontal="left"/>
    </xf>
    <xf borderId="0" fillId="3" fontId="7" numFmtId="0" xfId="0" applyAlignment="1" applyFont="1">
      <alignment horizontal="center"/>
    </xf>
    <xf borderId="0" fillId="4" fontId="7" numFmtId="0" xfId="0" applyAlignment="1" applyFont="1">
      <alignment horizontal="center"/>
    </xf>
    <xf borderId="0" fillId="2" fontId="3" numFmtId="0" xfId="0" applyAlignment="1" applyFont="1">
      <alignment horizontal="center" vertical="center"/>
    </xf>
    <xf borderId="0" fillId="2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0" fillId="3" fontId="7" numFmtId="0" xfId="0" applyAlignment="1" applyFont="1">
      <alignment horizontal="center" shrinkToFit="0" vertical="center" wrapText="1"/>
    </xf>
    <xf borderId="0" fillId="4" fontId="5" numFmtId="0" xfId="0" applyAlignment="1" applyFont="1">
      <alignment horizontal="center" vertical="center"/>
    </xf>
    <xf borderId="0" fillId="4" fontId="5" numFmtId="0" xfId="0" applyAlignment="1" applyFont="1">
      <alignment horizontal="left" vertical="center"/>
    </xf>
    <xf borderId="0" fillId="4" fontId="7" numFmtId="0" xfId="0" applyAlignment="1" applyFont="1">
      <alignment horizontal="center" shrinkToFit="0" vertical="center" wrapText="1"/>
    </xf>
    <xf borderId="0" fillId="3" fontId="5" numFmtId="0" xfId="0" applyAlignment="1" applyFont="1">
      <alignment horizontal="center" vertical="center"/>
    </xf>
    <xf borderId="0" fillId="3" fontId="5" numFmtId="0" xfId="0" applyAlignment="1" applyFont="1">
      <alignment horizontal="left" vertical="center"/>
    </xf>
    <xf borderId="0" fillId="3" fontId="7" numFmtId="166" xfId="0" applyAlignment="1" applyFont="1" applyNumberFormat="1">
      <alignment horizontal="center" vertical="center"/>
    </xf>
    <xf borderId="0" fillId="4" fontId="7" numFmtId="167" xfId="0" applyAlignment="1" applyFont="1" applyNumberFormat="1">
      <alignment horizontal="center" vertical="center"/>
    </xf>
    <xf borderId="0" fillId="4" fontId="7" numFmtId="165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3" fontId="7" numFmtId="2" xfId="0" applyAlignment="1" applyFont="1" applyNumberFormat="1">
      <alignment horizontal="center" vertical="center"/>
    </xf>
    <xf borderId="0" fillId="4" fontId="8" numFmtId="0" xfId="0" applyAlignment="1" applyFont="1">
      <alignment horizontal="center" shrinkToFit="0" vertical="center" wrapText="1"/>
    </xf>
    <xf borderId="0" fillId="5" fontId="3" numFmtId="0" xfId="0" applyAlignment="1" applyFill="1" applyFont="1">
      <alignment horizontal="center"/>
    </xf>
    <xf borderId="0" fillId="6" fontId="3" numFmtId="0" xfId="0" applyAlignment="1" applyFill="1" applyFont="1">
      <alignment horizontal="right"/>
    </xf>
    <xf borderId="0" fillId="6" fontId="3" numFmtId="0" xfId="0" applyAlignment="1" applyFont="1">
      <alignment horizontal="left"/>
    </xf>
    <xf borderId="0" fillId="6" fontId="3" numFmtId="0" xfId="0" applyAlignment="1" applyFont="1">
      <alignment horizontal="center"/>
    </xf>
    <xf borderId="0" fillId="6" fontId="3" numFmtId="164" xfId="0" applyAlignment="1" applyFont="1" applyNumberFormat="1">
      <alignment horizontal="center"/>
    </xf>
    <xf borderId="0" fillId="0" fontId="5" numFmtId="0" xfId="0" applyAlignment="1" applyFont="1">
      <alignment horizontal="right"/>
    </xf>
    <xf borderId="0" fillId="0" fontId="5" numFmtId="0" xfId="0" applyAlignment="1" applyFont="1">
      <alignment horizontal="left"/>
    </xf>
    <xf borderId="0" fillId="0" fontId="5" numFmtId="10" xfId="0" applyAlignment="1" applyFont="1" applyNumberFormat="1">
      <alignment horizontal="center"/>
    </xf>
    <xf borderId="0" fillId="0" fontId="5" numFmtId="164" xfId="0" applyFont="1" applyNumberFormat="1"/>
    <xf borderId="0" fillId="3" fontId="5" numFmtId="0" xfId="0" applyAlignment="1" applyFont="1">
      <alignment horizontal="right"/>
    </xf>
    <xf borderId="0" fillId="3" fontId="9" numFmtId="0" xfId="0" applyAlignment="1" applyFont="1">
      <alignment horizontal="center"/>
    </xf>
    <xf borderId="0" fillId="3" fontId="5" numFmtId="10" xfId="0" applyAlignment="1" applyFont="1" applyNumberFormat="1">
      <alignment horizontal="center"/>
    </xf>
    <xf borderId="0" fillId="3" fontId="5" numFmtId="164" xfId="0" applyFont="1" applyNumberFormat="1"/>
    <xf borderId="0" fillId="0" fontId="9" numFmtId="0" xfId="0" applyAlignment="1" applyFont="1">
      <alignment horizontal="center"/>
    </xf>
    <xf borderId="0" fillId="5" fontId="3" numFmtId="0" xfId="0" applyAlignment="1" applyFont="1">
      <alignment horizontal="right"/>
    </xf>
    <xf borderId="0" fillId="5" fontId="3" numFmtId="167" xfId="0" applyAlignment="1" applyFont="1" applyNumberFormat="1">
      <alignment horizontal="right"/>
    </xf>
    <xf borderId="0" fillId="6" fontId="3" numFmtId="168" xfId="0" applyAlignment="1" applyFont="1" applyNumberFormat="1">
      <alignment horizontal="right"/>
    </xf>
    <xf borderId="0" fillId="6" fontId="3" numFmtId="10" xfId="0" applyAlignment="1" applyFont="1" applyNumberFormat="1">
      <alignment horizontal="center"/>
    </xf>
    <xf borderId="0" fillId="6" fontId="3" numFmtId="167" xfId="0" applyAlignment="1" applyFont="1" applyNumberFormat="1">
      <alignment horizontal="right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left" vertical="center"/>
    </xf>
    <xf borderId="0" fillId="0" fontId="10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vertical="center"/>
    </xf>
    <xf borderId="0" fillId="0" fontId="5" numFmtId="10" xfId="0" applyAlignment="1" applyFont="1" applyNumberFormat="1">
      <alignment horizontal="center" vertical="center"/>
    </xf>
    <xf borderId="0" fillId="0" fontId="5" numFmtId="164" xfId="0" applyAlignment="1" applyFont="1" applyNumberFormat="1">
      <alignment vertical="center"/>
    </xf>
    <xf borderId="0" fillId="0" fontId="11" numFmtId="0" xfId="0" applyAlignment="1" applyFont="1">
      <alignment horizontal="center"/>
    </xf>
    <xf borderId="0" fillId="0" fontId="5" numFmtId="164" xfId="0" applyAlignment="1" applyFont="1" applyNumberFormat="1">
      <alignment horizontal="right" vertical="center"/>
    </xf>
    <xf borderId="0" fillId="0" fontId="9" numFmtId="0" xfId="0" applyAlignment="1" applyFont="1">
      <alignment horizontal="right"/>
    </xf>
    <xf borderId="0" fillId="0" fontId="4" numFmtId="0" xfId="0" applyAlignment="1" applyFont="1">
      <alignment horizontal="left"/>
    </xf>
    <xf borderId="0" fillId="0" fontId="9" numFmtId="169" xfId="0" applyAlignment="1" applyFont="1" applyNumberFormat="1">
      <alignment horizontal="left"/>
    </xf>
    <xf borderId="0" fillId="0" fontId="4" numFmtId="0" xfId="0" applyAlignment="1" applyFont="1">
      <alignment horizontal="right"/>
    </xf>
    <xf borderId="0" fillId="0" fontId="7" numFmtId="167" xfId="0" applyAlignment="1" applyFont="1" applyNumberFormat="1">
      <alignment horizontal="center"/>
    </xf>
    <xf borderId="0" fillId="3" fontId="4" numFmtId="0" xfId="0" applyAlignment="1" applyFont="1">
      <alignment horizontal="right"/>
    </xf>
    <xf borderId="0" fillId="3" fontId="7" numFmtId="167" xfId="0" applyAlignment="1" applyFont="1" applyNumberFormat="1">
      <alignment horizontal="center"/>
    </xf>
    <xf borderId="0" fillId="3" fontId="7" numFmtId="10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12" numFmtId="1" xfId="0" applyAlignment="1" applyFont="1" applyNumberFormat="1">
      <alignment horizontal="center"/>
    </xf>
    <xf borderId="0" fillId="0" fontId="4" numFmtId="168" xfId="0" applyAlignment="1" applyFont="1" applyNumberFormat="1">
      <alignment horizontal="right"/>
    </xf>
    <xf borderId="0" fillId="0" fontId="4" numFmtId="164" xfId="0" applyFont="1" applyNumberFormat="1"/>
    <xf borderId="0" fillId="3" fontId="4" numFmtId="168" xfId="0" applyAlignment="1" applyFont="1" applyNumberFormat="1">
      <alignment horizontal="right"/>
    </xf>
    <xf borderId="0" fillId="3" fontId="4" numFmtId="0" xfId="0" applyAlignment="1" applyFont="1">
      <alignment horizontal="left"/>
    </xf>
    <xf borderId="0" fillId="3" fontId="4" numFmtId="164" xfId="0" applyFont="1" applyNumberFormat="1"/>
    <xf borderId="0" fillId="3" fontId="5" numFmtId="170" xfId="0" applyAlignment="1" applyFont="1" applyNumberFormat="1">
      <alignment horizontal="center"/>
    </xf>
    <xf borderId="0" fillId="5" fontId="3" numFmtId="10" xfId="0" applyAlignment="1" applyFont="1" applyNumberFormat="1">
      <alignment horizontal="center"/>
    </xf>
    <xf borderId="0" fillId="0" fontId="5" numFmtId="170" xfId="0" applyAlignment="1" applyFont="1" applyNumberFormat="1">
      <alignment horizontal="center"/>
    </xf>
    <xf borderId="0" fillId="6" fontId="3" numFmtId="167" xfId="0" applyAlignment="1" applyFont="1" applyNumberFormat="1">
      <alignment horizontal="center"/>
    </xf>
    <xf borderId="0" fillId="0" fontId="4" numFmtId="10" xfId="0" applyAlignment="1" applyFont="1" applyNumberFormat="1">
      <alignment horizontal="center"/>
    </xf>
    <xf borderId="0" fillId="3" fontId="4" numFmtId="167" xfId="0" applyAlignment="1" applyFont="1" applyNumberFormat="1">
      <alignment horizontal="center"/>
    </xf>
    <xf borderId="0" fillId="0" fontId="7" numFmtId="4" xfId="0" applyAlignment="1" applyFont="1" applyNumberFormat="1">
      <alignment horizontal="right"/>
    </xf>
    <xf borderId="0" fillId="3" fontId="7" numFmtId="4" xfId="0" applyAlignment="1" applyFont="1" applyNumberFormat="1">
      <alignment horizontal="right"/>
    </xf>
    <xf borderId="0" fillId="2" fontId="1" numFmtId="0" xfId="0" applyFont="1"/>
    <xf borderId="0" fillId="2" fontId="3" numFmtId="0" xfId="0" applyAlignment="1" applyFont="1">
      <alignment horizontal="right"/>
    </xf>
    <xf borderId="0" fillId="2" fontId="3" numFmtId="10" xfId="0" applyAlignment="1" applyFont="1" applyNumberFormat="1">
      <alignment horizontal="center"/>
    </xf>
    <xf borderId="0" fillId="5" fontId="3" numFmtId="0" xfId="0" applyAlignment="1" applyFont="1">
      <alignment horizontal="center" vertical="center"/>
    </xf>
    <xf borderId="0" fillId="6" fontId="3" numFmtId="0" xfId="0" applyAlignment="1" applyFont="1">
      <alignment horizontal="right" vertical="center"/>
    </xf>
    <xf borderId="0" fillId="6" fontId="3" numFmtId="0" xfId="0" applyAlignment="1" applyFont="1">
      <alignment horizontal="left" vertical="center"/>
    </xf>
    <xf borderId="0" fillId="6" fontId="3" numFmtId="0" xfId="0" applyAlignment="1" applyFont="1">
      <alignment horizontal="center" vertical="center"/>
    </xf>
    <xf borderId="0" fillId="6" fontId="3" numFmtId="164" xfId="0" applyAlignment="1" applyFont="1" applyNumberFormat="1">
      <alignment horizontal="center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13" numFmtId="10" xfId="0" applyAlignment="1" applyFont="1" applyNumberFormat="1">
      <alignment horizontal="center" vertical="center"/>
    </xf>
    <xf borderId="0" fillId="3" fontId="4" numFmtId="0" xfId="0" applyAlignment="1" applyFont="1">
      <alignment horizontal="right" vertical="center"/>
    </xf>
    <xf borderId="0" fillId="3" fontId="4" numFmtId="0" xfId="0" applyAlignment="1" applyFont="1">
      <alignment horizontal="left" vertical="center"/>
    </xf>
    <xf borderId="0" fillId="3" fontId="13" numFmtId="10" xfId="0" applyAlignment="1" applyFont="1" applyNumberFormat="1">
      <alignment horizontal="center" vertical="center"/>
    </xf>
    <xf borderId="0" fillId="3" fontId="5" numFmtId="164" xfId="0" applyAlignment="1" applyFont="1" applyNumberFormat="1">
      <alignment vertical="center"/>
    </xf>
    <xf borderId="0" fillId="0" fontId="4" numFmtId="10" xfId="0" applyAlignment="1" applyFont="1" applyNumberFormat="1">
      <alignment horizontal="center" vertical="center"/>
    </xf>
    <xf borderId="0" fillId="0" fontId="4" numFmtId="164" xfId="0" applyAlignment="1" applyFont="1" applyNumberFormat="1">
      <alignment vertical="center"/>
    </xf>
    <xf borderId="0" fillId="3" fontId="5" numFmtId="0" xfId="0" applyAlignment="1" applyFont="1">
      <alignment horizontal="right" vertical="center"/>
    </xf>
    <xf borderId="0" fillId="3" fontId="11" numFmtId="0" xfId="0" applyAlignment="1" applyFont="1">
      <alignment horizontal="left" shrinkToFit="0" vertical="center" wrapText="1"/>
    </xf>
    <xf borderId="0" fillId="3" fontId="5" numFmtId="10" xfId="0" applyAlignment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3" fontId="5" numFmtId="0" xfId="0" applyAlignment="1" applyFont="1">
      <alignment horizontal="left" shrinkToFit="0" vertical="center" wrapText="1"/>
    </xf>
    <xf borderId="0" fillId="3" fontId="5" numFmtId="164" xfId="0" applyAlignment="1" applyFont="1" applyNumberFormat="1">
      <alignment horizontal="right" vertical="center"/>
    </xf>
    <xf borderId="0" fillId="5" fontId="3" numFmtId="0" xfId="0" applyAlignment="1" applyFont="1">
      <alignment horizontal="right" vertical="center"/>
    </xf>
    <xf borderId="0" fillId="5" fontId="3" numFmtId="10" xfId="0" applyAlignment="1" applyFont="1" applyNumberFormat="1">
      <alignment horizontal="center" vertical="center"/>
    </xf>
    <xf borderId="0" fillId="5" fontId="3" numFmtId="167" xfId="0" applyAlignment="1" applyFont="1" applyNumberFormat="1">
      <alignment horizontal="right" vertical="center"/>
    </xf>
    <xf borderId="0" fillId="7" fontId="3" numFmtId="0" xfId="0" applyAlignment="1" applyFill="1" applyFont="1">
      <alignment horizontal="center"/>
    </xf>
    <xf borderId="0" fillId="6" fontId="4" numFmtId="0" xfId="0" applyAlignment="1" applyFont="1">
      <alignment horizontal="right"/>
    </xf>
    <xf borderId="0" fillId="6" fontId="4" numFmtId="164" xfId="0" applyFont="1" applyNumberFormat="1"/>
    <xf borderId="0" fillId="7" fontId="3" numFmtId="0" xfId="0" applyAlignment="1" applyFont="1">
      <alignment horizontal="right"/>
    </xf>
    <xf borderId="0" fillId="7" fontId="14" numFmtId="167" xfId="0" applyAlignment="1" applyFont="1" applyNumberFormat="1">
      <alignment horizontal="right"/>
    </xf>
    <xf borderId="0" fillId="7" fontId="15" numFmtId="0" xfId="0" applyAlignment="1" applyFont="1">
      <alignment horizontal="left"/>
    </xf>
    <xf borderId="0" fillId="7" fontId="14" numFmtId="0" xfId="0" applyAlignment="1" applyFont="1">
      <alignment horizontal="center" shrinkToFit="0" vertical="center" wrapText="1"/>
    </xf>
    <xf borderId="0" fillId="0" fontId="1" numFmtId="10" xfId="0" applyAlignment="1" applyFont="1" applyNumberFormat="1">
      <alignment horizontal="center" vertical="center"/>
    </xf>
    <xf borderId="0" fillId="7" fontId="3" numFmtId="0" xfId="0" applyAlignment="1" applyFont="1">
      <alignment horizontal="right" shrinkToFit="0" vertical="center" wrapText="1"/>
    </xf>
    <xf borderId="0" fillId="7" fontId="14" numFmtId="10" xfId="0" applyAlignment="1" applyFont="1" applyNumberFormat="1">
      <alignment horizontal="center" vertical="center"/>
    </xf>
    <xf borderId="0" fillId="7" fontId="14" numFmtId="164" xfId="0" applyAlignment="1" applyFont="1" applyNumberFormat="1">
      <alignment horizontal="right" vertical="center"/>
    </xf>
    <xf borderId="0" fillId="7" fontId="16" numFmtId="164" xfId="0" applyAlignment="1" applyFont="1" applyNumberFormat="1">
      <alignment horizontal="right" vertical="center"/>
    </xf>
    <xf borderId="0" fillId="7" fontId="16" numFmtId="10" xfId="0" applyAlignment="1" applyFont="1" applyNumberFormat="1">
      <alignment horizontal="center" vertical="center"/>
    </xf>
    <xf borderId="0" fillId="7" fontId="3" numFmtId="0" xfId="0" applyAlignment="1" applyFont="1">
      <alignment horizontal="left" shrinkToFit="0" vertical="center" wrapText="1"/>
    </xf>
    <xf borderId="0" fillId="6" fontId="2" numFmtId="0" xfId="0" applyAlignment="1" applyFont="1">
      <alignment horizontal="center"/>
    </xf>
    <xf borderId="1" fillId="6" fontId="2" numFmtId="0" xfId="0" applyBorder="1" applyFont="1"/>
    <xf borderId="2" fillId="0" fontId="17" numFmtId="0" xfId="0" applyBorder="1" applyFont="1"/>
    <xf borderId="3" fillId="6" fontId="2" numFmtId="0" xfId="0" applyBorder="1" applyFont="1"/>
    <xf borderId="3" fillId="6" fontId="1" numFmtId="0" xfId="0" applyAlignment="1" applyBorder="1" applyFont="1">
      <alignment vertical="bottom"/>
    </xf>
    <xf borderId="3" fillId="6" fontId="1" numFmtId="0" xfId="0" applyAlignment="1" applyBorder="1" applyFont="1">
      <alignment horizontal="right" vertical="bottom"/>
    </xf>
    <xf borderId="3" fillId="6" fontId="1" numFmtId="0" xfId="0" applyBorder="1" applyFont="1"/>
    <xf borderId="3" fillId="6" fontId="1" numFmtId="10" xfId="0" applyBorder="1" applyFont="1" applyNumberFormat="1"/>
    <xf borderId="3" fillId="6" fontId="1" numFmtId="167" xfId="0" applyBorder="1" applyFont="1" applyNumberFormat="1"/>
    <xf borderId="0" fillId="0" fontId="1" numFmtId="4" xfId="0" applyFont="1" applyNumberFormat="1"/>
    <xf borderId="3" fillId="0" fontId="1" numFmtId="0" xfId="0" applyBorder="1" applyFont="1"/>
    <xf borderId="3" fillId="0" fontId="1" numFmtId="4" xfId="0" applyBorder="1" applyFont="1" applyNumberFormat="1"/>
    <xf borderId="3" fillId="0" fontId="1" numFmtId="171" xfId="0" applyAlignment="1" applyBorder="1" applyFont="1" applyNumberFormat="1">
      <alignment horizontal="right" vertical="bottom"/>
    </xf>
    <xf borderId="3" fillId="0" fontId="1" numFmtId="172" xfId="0" applyAlignment="1" applyBorder="1" applyFont="1" applyNumberFormat="1">
      <alignment horizontal="right" vertical="bottom"/>
    </xf>
    <xf borderId="3" fillId="0" fontId="1" numFmtId="169" xfId="0" applyBorder="1" applyFont="1" applyNumberFormat="1"/>
    <xf borderId="3" fillId="0" fontId="1" numFmtId="2" xfId="0" applyBorder="1" applyFont="1" applyNumberFormat="1"/>
    <xf borderId="3" fillId="0" fontId="2" numFmtId="0" xfId="0" applyBorder="1" applyFont="1"/>
    <xf borderId="3" fillId="0" fontId="2" numFmtId="4" xfId="0" applyBorder="1" applyFont="1" applyNumberFormat="1"/>
    <xf borderId="1" fillId="0" fontId="1" numFmtId="0" xfId="0" applyAlignment="1" applyBorder="1" applyFont="1">
      <alignment horizontal="right" vertical="bottom"/>
    </xf>
    <xf borderId="4" fillId="0" fontId="17" numFmtId="0" xfId="0" applyBorder="1" applyFont="1"/>
    <xf borderId="2" fillId="0" fontId="1" numFmtId="4" xfId="0" applyAlignment="1" applyBorder="1" applyFont="1" applyNumberFormat="1">
      <alignment horizontal="right" vertical="bottom"/>
    </xf>
    <xf borderId="3" fillId="0" fontId="1" numFmtId="2" xfId="0" applyAlignment="1" applyBorder="1" applyFont="1" applyNumberFormat="1">
      <alignment vertical="bottom"/>
    </xf>
    <xf borderId="3" fillId="0" fontId="1" numFmtId="173" xfId="0" applyBorder="1" applyFont="1" applyNumberFormat="1"/>
    <xf borderId="5" fillId="0" fontId="1" numFmtId="2" xfId="0" applyAlignment="1" applyBorder="1" applyFont="1" applyNumberFormat="1">
      <alignment vertical="bottom"/>
    </xf>
    <xf borderId="0" fillId="0" fontId="1" numFmtId="2" xfId="0" applyFont="1" applyNumberFormat="1"/>
    <xf borderId="0" fillId="0" fontId="1" numFmtId="0" xfId="0" applyFont="1"/>
    <xf borderId="0" fillId="0" fontId="2" numFmtId="4" xfId="0" applyFont="1" applyNumberFormat="1"/>
    <xf borderId="0" fillId="0" fontId="1" numFmtId="174" xfId="0" applyFont="1" applyNumberFormat="1"/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.38"/>
    <col customWidth="1" min="2" max="2" width="5.13"/>
    <col customWidth="1" min="3" max="3" width="22.63"/>
    <col customWidth="1" min="4" max="4" width="13.63"/>
    <col customWidth="1" min="5" max="5" width="6.5"/>
    <col customWidth="1" min="6" max="6" width="27.63"/>
    <col customWidth="1" min="7" max="7" width="18.88"/>
    <col customWidth="1" min="8" max="8" width="17.25"/>
  </cols>
  <sheetData>
    <row r="1" ht="8.25" customHeight="1">
      <c r="H1" s="1"/>
    </row>
    <row r="2" ht="15.75" customHeight="1">
      <c r="B2" s="2" t="s">
        <v>0</v>
      </c>
    </row>
    <row r="3" ht="15.75" customHeight="1">
      <c r="B3" s="3" t="s">
        <v>1</v>
      </c>
    </row>
    <row r="4" ht="15.75" customHeight="1">
      <c r="B4" s="3" t="s">
        <v>2</v>
      </c>
    </row>
    <row r="5" ht="15.75" customHeight="1">
      <c r="B5" s="4" t="s">
        <v>3</v>
      </c>
    </row>
    <row r="6" ht="15.75" customHeight="1">
      <c r="B6" s="5" t="s">
        <v>4</v>
      </c>
      <c r="F6" s="5" t="s">
        <v>5</v>
      </c>
    </row>
    <row r="7" ht="15.75" customHeight="1">
      <c r="B7" s="6" t="s">
        <v>6</v>
      </c>
    </row>
    <row r="8" ht="15.75" customHeight="1">
      <c r="B8" s="7" t="s">
        <v>7</v>
      </c>
    </row>
    <row r="9" ht="15.75" customHeight="1">
      <c r="B9" s="6" t="s">
        <v>8</v>
      </c>
    </row>
    <row r="10" ht="15.75" customHeight="1">
      <c r="B10" s="7" t="s">
        <v>9</v>
      </c>
      <c r="D10" s="7" t="s">
        <v>10</v>
      </c>
      <c r="G10" s="7" t="s">
        <v>11</v>
      </c>
    </row>
    <row r="11" ht="15.75" customHeight="1">
      <c r="B11" s="6" t="s">
        <v>12</v>
      </c>
      <c r="D11" s="6" t="s">
        <v>13</v>
      </c>
      <c r="F11" s="6" t="s">
        <v>14</v>
      </c>
    </row>
    <row r="12" ht="15.75" customHeight="1">
      <c r="A12" s="8"/>
      <c r="B12" s="9" t="str">
        <f>CONCATENATE(MID(D10,8,200)," /",MID(G10,8,200),", ",TEXT($G$15,"DD")," de ",TEXT($G$15,"MMMM")," de ",TEXT($G$15,"YYYY"),".")</f>
        <v> FLORIANÓPOLIS / SC, 04 de setembro de 2025.</v>
      </c>
      <c r="F12" s="10" t="s">
        <v>15</v>
      </c>
    </row>
    <row r="13" ht="15.75" customHeight="1">
      <c r="H13" s="1"/>
    </row>
    <row r="14" ht="15.75" customHeight="1">
      <c r="B14" s="3" t="s">
        <v>16</v>
      </c>
    </row>
    <row r="15" ht="15.75" customHeight="1">
      <c r="B15" s="11" t="s">
        <v>17</v>
      </c>
      <c r="C15" s="12" t="s">
        <v>18</v>
      </c>
      <c r="G15" s="13">
        <f>TODAY()</f>
        <v>45904</v>
      </c>
    </row>
    <row r="16" ht="15.75" customHeight="1">
      <c r="B16" s="14" t="s">
        <v>19</v>
      </c>
      <c r="C16" s="15" t="s">
        <v>20</v>
      </c>
      <c r="G16" s="16" t="s">
        <v>21</v>
      </c>
    </row>
    <row r="17" ht="15.75" customHeight="1">
      <c r="B17" s="11" t="s">
        <v>22</v>
      </c>
      <c r="C17" s="12" t="s">
        <v>23</v>
      </c>
      <c r="G17" s="17" t="s">
        <v>24</v>
      </c>
    </row>
    <row r="18" ht="15.75" customHeight="1">
      <c r="B18" s="14" t="s">
        <v>25</v>
      </c>
      <c r="C18" s="15" t="s">
        <v>26</v>
      </c>
      <c r="G18" s="16">
        <v>12.0</v>
      </c>
    </row>
    <row r="19" ht="15.75" customHeight="1">
      <c r="H19" s="1"/>
    </row>
    <row r="20" ht="15.75" customHeight="1">
      <c r="B20" s="3" t="s">
        <v>27</v>
      </c>
    </row>
    <row r="21" ht="31.5" customHeight="1">
      <c r="B21" s="18" t="s">
        <v>28</v>
      </c>
      <c r="D21" s="19" t="s">
        <v>29</v>
      </c>
      <c r="F21" s="18" t="s">
        <v>30</v>
      </c>
      <c r="G21" s="18" t="s">
        <v>31</v>
      </c>
    </row>
    <row r="22" ht="47.25" customHeight="1">
      <c r="A22" s="20"/>
      <c r="B22" s="21" t="s">
        <v>32</v>
      </c>
      <c r="D22" s="21">
        <v>1.0</v>
      </c>
      <c r="F22" s="21" t="s">
        <v>33</v>
      </c>
      <c r="G22" s="21">
        <v>1.0</v>
      </c>
    </row>
    <row r="23" ht="15.75" customHeight="1">
      <c r="H23" s="1"/>
    </row>
    <row r="24" ht="15.75" customHeight="1">
      <c r="B24" s="3" t="s">
        <v>34</v>
      </c>
    </row>
    <row r="25" ht="15.75" customHeight="1">
      <c r="B25" s="18" t="s">
        <v>35</v>
      </c>
    </row>
    <row r="26" ht="15.75" customHeight="1">
      <c r="B26" s="3" t="s">
        <v>36</v>
      </c>
    </row>
    <row r="27" ht="15.75" customHeight="1">
      <c r="B27" s="22" t="s">
        <v>17</v>
      </c>
      <c r="C27" s="23" t="s">
        <v>37</v>
      </c>
      <c r="G27" s="24" t="s">
        <v>38</v>
      </c>
    </row>
    <row r="28" ht="15.75" customHeight="1">
      <c r="B28" s="25" t="s">
        <v>19</v>
      </c>
      <c r="C28" s="26" t="s">
        <v>39</v>
      </c>
      <c r="G28" s="27">
        <v>264711.0</v>
      </c>
    </row>
    <row r="29" ht="15.75" customHeight="1">
      <c r="B29" s="22" t="s">
        <v>22</v>
      </c>
      <c r="C29" s="23" t="s">
        <v>40</v>
      </c>
      <c r="G29" s="28">
        <v>4043.26</v>
      </c>
    </row>
    <row r="30" ht="15.75" customHeight="1">
      <c r="B30" s="25" t="s">
        <v>25</v>
      </c>
      <c r="C30" s="26" t="s">
        <v>41</v>
      </c>
      <c r="G30" s="21" t="s">
        <v>42</v>
      </c>
    </row>
    <row r="31" ht="15.75" customHeight="1">
      <c r="B31" s="22" t="s">
        <v>43</v>
      </c>
      <c r="C31" s="23" t="s">
        <v>44</v>
      </c>
      <c r="G31" s="29">
        <v>45717.0</v>
      </c>
    </row>
    <row r="32" ht="15.75" customHeight="1">
      <c r="A32" s="30"/>
      <c r="B32" s="25" t="s">
        <v>45</v>
      </c>
      <c r="C32" s="26" t="s">
        <v>46</v>
      </c>
      <c r="G32" s="31">
        <v>22.0</v>
      </c>
    </row>
    <row r="33" ht="15.75" customHeight="1">
      <c r="B33" s="22" t="s">
        <v>47</v>
      </c>
      <c r="C33" s="23" t="s">
        <v>48</v>
      </c>
      <c r="G33" s="32" t="s">
        <v>49</v>
      </c>
    </row>
    <row r="34" ht="15.75" customHeight="1">
      <c r="H34" s="1"/>
    </row>
    <row r="35" ht="15.75" customHeight="1">
      <c r="B35" s="33" t="s">
        <v>50</v>
      </c>
    </row>
    <row r="36" ht="15.75" customHeight="1">
      <c r="B36" s="34">
        <v>1.0</v>
      </c>
      <c r="C36" s="35" t="s">
        <v>51</v>
      </c>
      <c r="G36" s="36" t="s">
        <v>52</v>
      </c>
      <c r="H36" s="37" t="s">
        <v>53</v>
      </c>
    </row>
    <row r="37" ht="15.75" customHeight="1">
      <c r="B37" s="38" t="s">
        <v>17</v>
      </c>
      <c r="C37" s="39" t="s">
        <v>54</v>
      </c>
      <c r="G37" s="40">
        <v>1.0</v>
      </c>
      <c r="H37" s="41"/>
    </row>
    <row r="38" ht="15.75" customHeight="1">
      <c r="B38" s="42" t="s">
        <v>19</v>
      </c>
      <c r="C38" s="15" t="s">
        <v>55</v>
      </c>
      <c r="D38" s="43" t="s">
        <v>56</v>
      </c>
      <c r="E38" s="15"/>
      <c r="G38" s="44">
        <f>IF(D38="SIM",30%,0%)</f>
        <v>0</v>
      </c>
      <c r="H38" s="45">
        <f>ROUND(SALARIO_BASE*$G$38,2)</f>
        <v>0</v>
      </c>
    </row>
    <row r="39" ht="15.75" customHeight="1">
      <c r="B39" s="38" t="s">
        <v>22</v>
      </c>
      <c r="C39" s="39" t="s">
        <v>57</v>
      </c>
      <c r="D39" s="46" t="s">
        <v>56</v>
      </c>
      <c r="E39" s="46" t="s">
        <v>58</v>
      </c>
      <c r="G39" s="40">
        <f>ifs(D38="SIM",0%,D39="MÁXIMO",40%,D39="MÉDIO",20%,D39="MÍNIMO",10%,D39="NÃO",0%)</f>
        <v>0</v>
      </c>
      <c r="H39" s="41">
        <f>IF($E$39="SALÁRIO MÍNIMO",ROUND($G$39*SAL_MINIMO,2),IF($E$39="SALÁRIO-BASE",ROUND($G$39*SALARIO_BASE,2),0))</f>
        <v>0</v>
      </c>
    </row>
    <row r="40" ht="15.75" customHeight="1">
      <c r="B40" s="42" t="s">
        <v>25</v>
      </c>
      <c r="C40" s="15" t="s">
        <v>59</v>
      </c>
      <c r="D40" s="43" t="s">
        <v>56</v>
      </c>
      <c r="E40" s="15"/>
      <c r="G40" s="44">
        <f>IF(D40="SIM",20%,0%)</f>
        <v>0</v>
      </c>
      <c r="H40" s="45">
        <f>ROUND(IF($D$40="SIM",(8*(DIAS_TRABALHADOS))*(((SALARIO_BASE+PERICULOSIDADE)/220)*$G$40),0),2)</f>
        <v>0</v>
      </c>
    </row>
    <row r="41" ht="15.75" customHeight="1">
      <c r="B41" s="38" t="s">
        <v>43</v>
      </c>
      <c r="C41" s="39" t="s">
        <v>60</v>
      </c>
      <c r="G41" s="40">
        <v>1.2</v>
      </c>
      <c r="H41" s="41">
        <f>ROUND(IF($D$40="SIM",(1*(DIAS_TRABALHADOS))*(((SALARIO_BASE+PERICULOSIDADE)/220)*$G$41),0),2)</f>
        <v>0</v>
      </c>
    </row>
    <row r="42" ht="15.75" customHeight="1">
      <c r="B42" s="42" t="s">
        <v>45</v>
      </c>
      <c r="C42" s="15" t="s">
        <v>61</v>
      </c>
      <c r="G42" s="44">
        <v>0.0</v>
      </c>
      <c r="H42" s="45">
        <f>SALARIO_BASE*G42</f>
        <v>0</v>
      </c>
    </row>
    <row r="43" ht="15.75" customHeight="1">
      <c r="B43" s="47" t="s">
        <v>62</v>
      </c>
      <c r="H43" s="48">
        <f>SUM($H$37:$H$42)</f>
        <v>0</v>
      </c>
    </row>
    <row r="44" ht="15.75" customHeight="1">
      <c r="H44" s="1"/>
    </row>
    <row r="45" ht="15.75" customHeight="1">
      <c r="B45" s="33" t="s">
        <v>63</v>
      </c>
    </row>
    <row r="46" ht="15.75" customHeight="1">
      <c r="B46" s="3" t="s">
        <v>64</v>
      </c>
    </row>
    <row r="47" ht="15.75" customHeight="1">
      <c r="B47" s="49">
        <v>44198.0</v>
      </c>
      <c r="C47" s="35" t="s">
        <v>51</v>
      </c>
      <c r="G47" s="36" t="s">
        <v>52</v>
      </c>
      <c r="H47" s="37" t="s">
        <v>53</v>
      </c>
    </row>
    <row r="48" ht="15.75" customHeight="1">
      <c r="B48" s="38" t="s">
        <v>17</v>
      </c>
      <c r="C48" s="39" t="s">
        <v>65</v>
      </c>
      <c r="G48" s="40">
        <f>1/12</f>
        <v>0.08333333333</v>
      </c>
      <c r="H48" s="41">
        <f>ROUND(MODULO_1*$G$48,2)</f>
        <v>0</v>
      </c>
    </row>
    <row r="49" ht="15.75" customHeight="1">
      <c r="B49" s="42" t="s">
        <v>19</v>
      </c>
      <c r="C49" s="15" t="s">
        <v>66</v>
      </c>
      <c r="G49" s="44">
        <f>((1+1/3)/12)</f>
        <v>0.1111111111</v>
      </c>
      <c r="H49" s="45">
        <f>ROUND(MODULO_1*$G$49,2)</f>
        <v>0</v>
      </c>
    </row>
    <row r="50" ht="15.75" customHeight="1">
      <c r="B50" s="34" t="s">
        <v>67</v>
      </c>
      <c r="G50" s="50">
        <f>SUM($G$48:$G$49)</f>
        <v>0.1944444444</v>
      </c>
      <c r="H50" s="51">
        <f>SUM($H$48:$H$49)</f>
        <v>0</v>
      </c>
    </row>
    <row r="51" ht="15.75" customHeight="1">
      <c r="H51" s="1"/>
    </row>
    <row r="52" ht="15.75" customHeight="1">
      <c r="B52" s="3" t="s">
        <v>68</v>
      </c>
    </row>
    <row r="53" ht="15.75" customHeight="1">
      <c r="B53" s="49">
        <v>44229.0</v>
      </c>
      <c r="C53" s="35" t="s">
        <v>51</v>
      </c>
      <c r="G53" s="36" t="s">
        <v>52</v>
      </c>
      <c r="H53" s="37" t="s">
        <v>53</v>
      </c>
    </row>
    <row r="54" ht="15.75" customHeight="1">
      <c r="A54" s="30"/>
      <c r="B54" s="52" t="s">
        <v>17</v>
      </c>
      <c r="C54" s="53" t="s">
        <v>69</v>
      </c>
      <c r="D54" s="54" t="s">
        <v>70</v>
      </c>
      <c r="E54" s="55" t="s">
        <v>56</v>
      </c>
      <c r="F54" s="53"/>
      <c r="G54" s="56">
        <f>IF(E54="SIM",0,20%)</f>
        <v>0.2</v>
      </c>
      <c r="H54" s="57">
        <f>ROUND((MODULO_1+MODULO_2.1)*$G$54,2)</f>
        <v>0</v>
      </c>
    </row>
    <row r="55" ht="15.75" customHeight="1">
      <c r="B55" s="42" t="s">
        <v>19</v>
      </c>
      <c r="C55" s="15" t="s">
        <v>71</v>
      </c>
      <c r="G55" s="44">
        <f>IF($F$139="SIMPLES NACIONAL",0,2.5%)</f>
        <v>0.025</v>
      </c>
      <c r="H55" s="45">
        <f>ROUND((MODULO_1+MODULO_2.1)*$G$55,2)</f>
        <v>0</v>
      </c>
    </row>
    <row r="56" ht="15.75" customHeight="1">
      <c r="B56" s="52" t="s">
        <v>22</v>
      </c>
      <c r="C56" s="53" t="s">
        <v>72</v>
      </c>
      <c r="D56" s="58" t="s">
        <v>73</v>
      </c>
      <c r="G56" s="56">
        <f>(IFS($D$57="RAT = 1%",1%,$D$57="RAT = 2%",2%,$D$57="RAT = 3%",3%)*$F$57)</f>
        <v>0.03</v>
      </c>
      <c r="H56" s="59">
        <f>ROUND((MODULO_1+MODULO_2.1)*$G$56,2)</f>
        <v>0</v>
      </c>
    </row>
    <row r="57" ht="15.75" customHeight="1">
      <c r="D57" s="60" t="s">
        <v>74</v>
      </c>
      <c r="E57" s="61" t="s">
        <v>75</v>
      </c>
      <c r="F57" s="62">
        <v>1.0</v>
      </c>
    </row>
    <row r="58" ht="15.75" customHeight="1">
      <c r="B58" s="42" t="s">
        <v>25</v>
      </c>
      <c r="C58" s="15" t="s">
        <v>76</v>
      </c>
      <c r="G58" s="44">
        <f>IF($F$139="SIMPLES NACIONAL",0,1.5%)</f>
        <v>0.015</v>
      </c>
      <c r="H58" s="45">
        <f>ROUND((MODULO_1+MODULO_2.1)*$G$58,2)</f>
        <v>0</v>
      </c>
    </row>
    <row r="59" ht="15.75" customHeight="1">
      <c r="B59" s="38" t="s">
        <v>43</v>
      </c>
      <c r="C59" s="39" t="s">
        <v>77</v>
      </c>
      <c r="G59" s="40">
        <f>IF($F$139="SIMPLES NACIONAL",0,1%)</f>
        <v>0.01</v>
      </c>
      <c r="H59" s="41">
        <f>ROUND((MODULO_1+MODULO_2.1)*$G$59,2)</f>
        <v>0</v>
      </c>
    </row>
    <row r="60" ht="15.75" customHeight="1">
      <c r="B60" s="42" t="s">
        <v>45</v>
      </c>
      <c r="C60" s="15" t="s">
        <v>78</v>
      </c>
      <c r="G60" s="44">
        <f>IF($F$139="SIMPLES NACIONAL",0,0.6%)</f>
        <v>0.006</v>
      </c>
      <c r="H60" s="45">
        <f>ROUND((MODULO_1+MODULO_2.1)*$G$60,2)</f>
        <v>0</v>
      </c>
    </row>
    <row r="61" ht="15.75" customHeight="1">
      <c r="B61" s="38" t="s">
        <v>47</v>
      </c>
      <c r="C61" s="39" t="s">
        <v>79</v>
      </c>
      <c r="G61" s="40">
        <f>IF($F$139="SIMPLES NACIONAL",0,0.2%)</f>
        <v>0.002</v>
      </c>
      <c r="H61" s="41">
        <f>ROUND((MODULO_1+MODULO_2.1)*$G$61,2)</f>
        <v>0</v>
      </c>
    </row>
    <row r="62" ht="15.75" customHeight="1">
      <c r="B62" s="42" t="s">
        <v>80</v>
      </c>
      <c r="C62" s="15" t="s">
        <v>81</v>
      </c>
      <c r="G62" s="44">
        <v>0.08</v>
      </c>
      <c r="H62" s="45">
        <f>ROUND((MODULO_1+MODULO_2.1)*$G$62,2)</f>
        <v>0</v>
      </c>
    </row>
    <row r="63" ht="15.75" customHeight="1">
      <c r="B63" s="34" t="s">
        <v>67</v>
      </c>
      <c r="G63" s="50">
        <f>SUM($G$54:$G$62)</f>
        <v>0.368</v>
      </c>
      <c r="H63" s="51">
        <f>SUM(H54:H62)</f>
        <v>0</v>
      </c>
    </row>
    <row r="64" ht="15.75" customHeight="1">
      <c r="H64" s="1"/>
    </row>
    <row r="65" ht="15.75" customHeight="1">
      <c r="B65" s="3" t="s">
        <v>82</v>
      </c>
    </row>
    <row r="66" ht="15.75" customHeight="1">
      <c r="B66" s="49">
        <v>44257.0</v>
      </c>
      <c r="C66" s="35" t="s">
        <v>51</v>
      </c>
      <c r="G66" s="36" t="s">
        <v>83</v>
      </c>
      <c r="H66" s="37" t="s">
        <v>84</v>
      </c>
    </row>
    <row r="67" ht="15.75" customHeight="1">
      <c r="B67" s="52" t="s">
        <v>17</v>
      </c>
      <c r="C67" s="39" t="s">
        <v>85</v>
      </c>
      <c r="D67" s="63" t="s">
        <v>86</v>
      </c>
      <c r="G67" s="64">
        <v>5.75</v>
      </c>
      <c r="H67" s="41"/>
    </row>
    <row r="68" ht="15.75" customHeight="1">
      <c r="C68" s="39" t="s">
        <v>87</v>
      </c>
      <c r="G68" s="40">
        <v>0.06</v>
      </c>
      <c r="H68" s="41">
        <f>ROUND(-(SALARIO_BASE*$G$68),2)</f>
        <v>0</v>
      </c>
    </row>
    <row r="69" ht="15.75" customHeight="1">
      <c r="B69" s="42" t="s">
        <v>19</v>
      </c>
      <c r="C69" s="15" t="s">
        <v>88</v>
      </c>
      <c r="D69" s="65" t="s">
        <v>86</v>
      </c>
      <c r="G69" s="66" t="s">
        <v>89</v>
      </c>
      <c r="H69" s="45"/>
    </row>
    <row r="70" ht="15.75" customHeight="1">
      <c r="B70" s="42"/>
      <c r="C70" s="15" t="s">
        <v>90</v>
      </c>
      <c r="G70" s="67"/>
      <c r="H70" s="45">
        <f>-H69*G70</f>
        <v>0</v>
      </c>
    </row>
    <row r="71" ht="15.75" customHeight="1">
      <c r="B71" s="38" t="s">
        <v>22</v>
      </c>
      <c r="C71" s="39" t="s">
        <v>91</v>
      </c>
      <c r="G71" s="68" t="s">
        <v>92</v>
      </c>
      <c r="H71" s="41">
        <v>0.0</v>
      </c>
    </row>
    <row r="72" ht="15.75" customHeight="1">
      <c r="B72" s="42" t="s">
        <v>25</v>
      </c>
      <c r="C72" s="15" t="s">
        <v>93</v>
      </c>
      <c r="G72" s="14" t="s">
        <v>92</v>
      </c>
      <c r="H72" s="45">
        <v>0.0</v>
      </c>
    </row>
    <row r="73" ht="15.75" customHeight="1">
      <c r="B73" s="38" t="s">
        <v>43</v>
      </c>
      <c r="C73" s="39" t="s">
        <v>94</v>
      </c>
      <c r="G73" s="68" t="s">
        <v>92</v>
      </c>
      <c r="H73" s="41">
        <v>0.0</v>
      </c>
    </row>
    <row r="74" ht="15.75" customHeight="1">
      <c r="B74" s="42" t="s">
        <v>45</v>
      </c>
      <c r="C74" s="15" t="s">
        <v>61</v>
      </c>
      <c r="G74" s="14" t="s">
        <v>92</v>
      </c>
      <c r="H74" s="45">
        <v>0.0</v>
      </c>
    </row>
    <row r="75" ht="15.75" customHeight="1">
      <c r="B75" s="38" t="s">
        <v>47</v>
      </c>
      <c r="C75" s="39" t="s">
        <v>61</v>
      </c>
      <c r="G75" s="68" t="s">
        <v>92</v>
      </c>
      <c r="H75" s="41">
        <v>0.0</v>
      </c>
    </row>
    <row r="76" ht="15.75" customHeight="1">
      <c r="B76" s="34" t="s">
        <v>67</v>
      </c>
      <c r="H76" s="51">
        <f>SUM($H$67:$H$75)</f>
        <v>0</v>
      </c>
    </row>
    <row r="77" ht="15.75" customHeight="1">
      <c r="H77" s="1"/>
    </row>
    <row r="78" ht="15.75" customHeight="1">
      <c r="B78" s="3" t="s">
        <v>95</v>
      </c>
    </row>
    <row r="79" ht="15.75" customHeight="1">
      <c r="B79" s="49">
        <v>44653.0</v>
      </c>
      <c r="C79" s="35" t="s">
        <v>51</v>
      </c>
      <c r="G79" s="36"/>
      <c r="H79" s="37" t="s">
        <v>84</v>
      </c>
    </row>
    <row r="80" ht="15.75" customHeight="1">
      <c r="B80" s="38" t="s">
        <v>17</v>
      </c>
      <c r="C80" s="39" t="s">
        <v>96</v>
      </c>
      <c r="G80" s="69">
        <v>0.0</v>
      </c>
      <c r="H80" s="41">
        <f>(MODULO_1/220)*1.5*DIAS_TRABALHADOS*0.5*G80</f>
        <v>0</v>
      </c>
    </row>
    <row r="81" ht="15.75" customHeight="1">
      <c r="B81" s="34" t="s">
        <v>67</v>
      </c>
      <c r="H81" s="51">
        <f>H80</f>
        <v>0</v>
      </c>
    </row>
    <row r="82" ht="15.75" customHeight="1">
      <c r="H82" s="1"/>
    </row>
    <row r="83" ht="15.75" customHeight="1">
      <c r="B83" s="3" t="s">
        <v>97</v>
      </c>
    </row>
    <row r="84" ht="15.75" customHeight="1">
      <c r="B84" s="34">
        <v>2.0</v>
      </c>
      <c r="C84" s="35" t="s">
        <v>51</v>
      </c>
      <c r="H84" s="37" t="s">
        <v>53</v>
      </c>
    </row>
    <row r="85" ht="15.75" customHeight="1">
      <c r="B85" s="70">
        <v>44198.0</v>
      </c>
      <c r="C85" s="61" t="s">
        <v>98</v>
      </c>
      <c r="H85" s="71">
        <f>MODULO_2.1</f>
        <v>0</v>
      </c>
    </row>
    <row r="86" ht="15.75" customHeight="1">
      <c r="B86" s="72">
        <v>44229.0</v>
      </c>
      <c r="C86" s="73" t="s">
        <v>99</v>
      </c>
      <c r="H86" s="74">
        <f>MODULO_2.2</f>
        <v>0</v>
      </c>
    </row>
    <row r="87" ht="15.75" customHeight="1">
      <c r="B87" s="70">
        <v>44257.0</v>
      </c>
      <c r="C87" s="61" t="s">
        <v>100</v>
      </c>
      <c r="H87" s="71">
        <f>MODULO_2.3</f>
        <v>0</v>
      </c>
    </row>
    <row r="88" ht="15.75" customHeight="1">
      <c r="B88" s="72">
        <v>44653.0</v>
      </c>
      <c r="C88" s="73" t="s">
        <v>101</v>
      </c>
      <c r="H88" s="74">
        <f>MODULO_2.4</f>
        <v>0</v>
      </c>
    </row>
    <row r="89" ht="15.75" customHeight="1">
      <c r="B89" s="47" t="s">
        <v>102</v>
      </c>
      <c r="H89" s="48">
        <f>SUM($H$85:$H$88)</f>
        <v>0</v>
      </c>
    </row>
    <row r="90" ht="15.75" customHeight="1">
      <c r="H90" s="1"/>
    </row>
    <row r="91" ht="15.75" customHeight="1">
      <c r="B91" s="33" t="s">
        <v>103</v>
      </c>
    </row>
    <row r="92" ht="15.75" customHeight="1">
      <c r="B92" s="34">
        <v>3.0</v>
      </c>
      <c r="C92" s="35" t="s">
        <v>51</v>
      </c>
      <c r="G92" s="36" t="s">
        <v>52</v>
      </c>
      <c r="H92" s="37" t="s">
        <v>53</v>
      </c>
    </row>
    <row r="93" ht="15.75" customHeight="1">
      <c r="B93" s="38" t="s">
        <v>17</v>
      </c>
      <c r="C93" s="61" t="s">
        <v>104</v>
      </c>
      <c r="G93" s="40">
        <f>(1/12)*5%</f>
        <v>0.004166666667</v>
      </c>
      <c r="H93" s="41">
        <f>ROUND(MODULO_1*$G$93,2)</f>
        <v>0</v>
      </c>
    </row>
    <row r="94" ht="15.75" customHeight="1">
      <c r="B94" s="42" t="s">
        <v>19</v>
      </c>
      <c r="C94" s="15" t="s">
        <v>105</v>
      </c>
      <c r="G94" s="44">
        <f>$G$62*$G$93</f>
        <v>0.0003333333333</v>
      </c>
      <c r="H94" s="45">
        <f>ROUND(MODULO_1*$G$94,2)</f>
        <v>0</v>
      </c>
    </row>
    <row r="95" ht="15.75" customHeight="1">
      <c r="B95" s="38" t="s">
        <v>22</v>
      </c>
      <c r="C95" s="39" t="s">
        <v>106</v>
      </c>
      <c r="G95" s="40">
        <f>((1+2/12)+((1/3)*(1/12)))*0.08*0.4*0.9</f>
        <v>0.0344</v>
      </c>
      <c r="H95" s="41">
        <f>ROUND(MODULO_1*$G$95,2)</f>
        <v>0</v>
      </c>
    </row>
    <row r="96" ht="15.75" customHeight="1">
      <c r="B96" s="42" t="s">
        <v>25</v>
      </c>
      <c r="C96" s="73" t="s">
        <v>107</v>
      </c>
      <c r="G96" s="44">
        <f>7/30/12</f>
        <v>0.01944444444</v>
      </c>
      <c r="H96" s="45">
        <f>ROUND(MODULO_1*$G$96,2)</f>
        <v>0</v>
      </c>
    </row>
    <row r="97" ht="15.75" customHeight="1">
      <c r="B97" s="38" t="s">
        <v>43</v>
      </c>
      <c r="C97" s="39" t="s">
        <v>108</v>
      </c>
      <c r="G97" s="40">
        <f>$G$96*$G$63</f>
        <v>0.007155555556</v>
      </c>
      <c r="H97" s="41">
        <f>ROUND(MODULO_1*$G$97,2)</f>
        <v>0</v>
      </c>
    </row>
    <row r="98" ht="15.75" customHeight="1">
      <c r="B98" s="42" t="s">
        <v>45</v>
      </c>
      <c r="C98" s="15" t="s">
        <v>109</v>
      </c>
      <c r="G98" s="75">
        <f>G96*0.08*0.4</f>
        <v>0.0006222222222</v>
      </c>
      <c r="H98" s="45">
        <f>ROUND(MODULO_1*$G$98,2)</f>
        <v>0</v>
      </c>
    </row>
    <row r="99" ht="15.75" customHeight="1">
      <c r="B99" s="47" t="s">
        <v>102</v>
      </c>
      <c r="G99" s="76">
        <f>SUM(G93:G98)</f>
        <v>0.06612222222</v>
      </c>
      <c r="H99" s="48">
        <f>SUM($H$93:$H$98)</f>
        <v>0</v>
      </c>
    </row>
    <row r="100" ht="15.75" customHeight="1">
      <c r="H100" s="1"/>
    </row>
    <row r="101" ht="15.75" customHeight="1">
      <c r="B101" s="33" t="s">
        <v>110</v>
      </c>
    </row>
    <row r="102" ht="15.75" customHeight="1">
      <c r="B102" s="3" t="s">
        <v>111</v>
      </c>
    </row>
    <row r="103" ht="15.75" customHeight="1">
      <c r="B103" s="49">
        <v>44200.0</v>
      </c>
      <c r="C103" s="35" t="s">
        <v>51</v>
      </c>
      <c r="G103" s="36" t="s">
        <v>52</v>
      </c>
      <c r="H103" s="37" t="s">
        <v>53</v>
      </c>
    </row>
    <row r="104" ht="15.75" customHeight="1">
      <c r="B104" s="38" t="s">
        <v>17</v>
      </c>
      <c r="C104" s="61" t="s">
        <v>112</v>
      </c>
      <c r="G104" s="77">
        <f>(((1+1/3)/12)/12)</f>
        <v>0.009259259259</v>
      </c>
      <c r="H104" s="41">
        <f>(MODULO_1+MODULO_2+MODULO_3)*G104</f>
        <v>0</v>
      </c>
    </row>
    <row r="105" ht="15.75" customHeight="1">
      <c r="B105" s="42" t="s">
        <v>19</v>
      </c>
      <c r="C105" s="15" t="s">
        <v>113</v>
      </c>
      <c r="G105" s="44">
        <f>1/30/12</f>
        <v>0.002777777778</v>
      </c>
      <c r="H105" s="45">
        <f>(MODULO_1+MODULO_2+MODULO_3)*G105</f>
        <v>0</v>
      </c>
    </row>
    <row r="106" ht="15.75" customHeight="1">
      <c r="B106" s="38" t="s">
        <v>22</v>
      </c>
      <c r="C106" s="39" t="s">
        <v>114</v>
      </c>
      <c r="G106" s="40">
        <f>5/30/12*3%</f>
        <v>0.0004166666667</v>
      </c>
      <c r="H106" s="41">
        <f>(MODULO_1+MODULO_2+MODULO_3)*G106</f>
        <v>0</v>
      </c>
    </row>
    <row r="107" ht="15.75" customHeight="1">
      <c r="B107" s="42" t="s">
        <v>25</v>
      </c>
      <c r="C107" s="73" t="s">
        <v>115</v>
      </c>
      <c r="G107" s="44">
        <f>((15/30)/12)*6.5%</f>
        <v>0.002708333333</v>
      </c>
      <c r="H107" s="45">
        <f>(MODULO_1+MODULO_2+MODULO_3)*G107</f>
        <v>0</v>
      </c>
    </row>
    <row r="108" ht="15.75" customHeight="1">
      <c r="B108" s="38" t="s">
        <v>43</v>
      </c>
      <c r="C108" s="39" t="s">
        <v>116</v>
      </c>
      <c r="G108" s="40">
        <f>((1/3)/12)*10%*(4/12)</f>
        <v>0.0009259259259</v>
      </c>
      <c r="H108" s="41">
        <f>(MODULO_1+MODULO_2+MODULO_3)*G108</f>
        <v>0</v>
      </c>
    </row>
    <row r="109" ht="15.75" customHeight="1">
      <c r="B109" s="42" t="s">
        <v>45</v>
      </c>
      <c r="C109" s="15" t="s">
        <v>117</v>
      </c>
      <c r="G109" s="44">
        <v>0.0166</v>
      </c>
      <c r="H109" s="45">
        <f>(MODULO_1+MODULO_2+MODULO_3)*G109</f>
        <v>0</v>
      </c>
    </row>
    <row r="110" ht="15.75" customHeight="1">
      <c r="B110" s="34" t="s">
        <v>67</v>
      </c>
      <c r="G110" s="50">
        <f>SUM($G$104:$G$109)</f>
        <v>0.03268796296</v>
      </c>
      <c r="H110" s="51">
        <f>SUM($H$104:$H$109)</f>
        <v>0</v>
      </c>
    </row>
    <row r="111" ht="15.75" customHeight="1">
      <c r="H111" s="1"/>
    </row>
    <row r="112" ht="15.75" customHeight="1">
      <c r="B112" s="3" t="s">
        <v>118</v>
      </c>
    </row>
    <row r="113" ht="15.75" customHeight="1">
      <c r="B113" s="49">
        <v>44231.0</v>
      </c>
      <c r="C113" s="35" t="s">
        <v>51</v>
      </c>
      <c r="G113" s="36"/>
      <c r="H113" s="37" t="s">
        <v>53</v>
      </c>
    </row>
    <row r="114" ht="15.75" customHeight="1">
      <c r="B114" s="38" t="s">
        <v>17</v>
      </c>
      <c r="C114" s="39" t="s">
        <v>119</v>
      </c>
      <c r="G114" s="69">
        <v>0.0</v>
      </c>
      <c r="H114" s="41">
        <f>((MODULO_1+MODULO_2+MODULO_3)/220)*1*DIAS_TRABALHADOS*G114</f>
        <v>0</v>
      </c>
    </row>
    <row r="115" ht="15.75" customHeight="1">
      <c r="B115" s="34" t="s">
        <v>67</v>
      </c>
      <c r="G115" s="78"/>
      <c r="H115" s="51">
        <f>SUM($H$114)</f>
        <v>0</v>
      </c>
    </row>
    <row r="116" ht="15.75" customHeight="1">
      <c r="H116" s="1"/>
    </row>
    <row r="117" ht="15.75" customHeight="1">
      <c r="B117" s="3" t="s">
        <v>120</v>
      </c>
    </row>
    <row r="118" ht="15.75" customHeight="1">
      <c r="B118" s="34">
        <v>4.0</v>
      </c>
      <c r="C118" s="35" t="s">
        <v>51</v>
      </c>
      <c r="G118" s="36" t="s">
        <v>52</v>
      </c>
      <c r="H118" s="37" t="s">
        <v>53</v>
      </c>
    </row>
    <row r="119" ht="15.75" customHeight="1">
      <c r="B119" s="70">
        <v>44200.0</v>
      </c>
      <c r="C119" s="61" t="s">
        <v>121</v>
      </c>
      <c r="G119" s="79">
        <f>$G$110</f>
        <v>0.03268796296</v>
      </c>
      <c r="H119" s="71">
        <f>MODULO_4.1</f>
        <v>0</v>
      </c>
    </row>
    <row r="120" ht="15.75" customHeight="1">
      <c r="B120" s="72">
        <v>44231.0</v>
      </c>
      <c r="C120" s="73" t="s">
        <v>122</v>
      </c>
      <c r="G120" s="80" t="str">
        <f>$G$115</f>
        <v/>
      </c>
      <c r="H120" s="74">
        <f>MODULO_4.2</f>
        <v>0</v>
      </c>
    </row>
    <row r="121" ht="15.75" customHeight="1">
      <c r="B121" s="47" t="s">
        <v>123</v>
      </c>
      <c r="H121" s="48">
        <f>SUM($H$119:$H$120)</f>
        <v>0</v>
      </c>
    </row>
    <row r="122" ht="15.75" customHeight="1">
      <c r="H122" s="1"/>
    </row>
    <row r="123" ht="15.75" customHeight="1">
      <c r="B123" s="33" t="s">
        <v>124</v>
      </c>
    </row>
    <row r="124" ht="15.75" customHeight="1">
      <c r="B124" s="34">
        <v>5.0</v>
      </c>
      <c r="C124" s="35" t="s">
        <v>51</v>
      </c>
      <c r="H124" s="37" t="s">
        <v>84</v>
      </c>
    </row>
    <row r="125" ht="15.75" customHeight="1">
      <c r="B125" s="38" t="s">
        <v>17</v>
      </c>
      <c r="C125" s="39" t="s">
        <v>125</v>
      </c>
      <c r="H125" s="81">
        <v>0.0</v>
      </c>
    </row>
    <row r="126" ht="15.75" customHeight="1">
      <c r="B126" s="42" t="s">
        <v>19</v>
      </c>
      <c r="C126" s="15" t="s">
        <v>126</v>
      </c>
      <c r="H126" s="82">
        <v>0.0</v>
      </c>
    </row>
    <row r="127" ht="15.75" customHeight="1">
      <c r="B127" s="38" t="s">
        <v>22</v>
      </c>
      <c r="C127" s="39" t="s">
        <v>127</v>
      </c>
      <c r="H127" s="81">
        <v>0.0</v>
      </c>
    </row>
    <row r="128" ht="15.75" customHeight="1">
      <c r="B128" s="42" t="s">
        <v>25</v>
      </c>
      <c r="C128" s="15" t="s">
        <v>61</v>
      </c>
      <c r="H128" s="82">
        <v>0.0</v>
      </c>
    </row>
    <row r="129" ht="15.75" customHeight="1">
      <c r="B129" s="38" t="s">
        <v>43</v>
      </c>
      <c r="C129" s="39" t="s">
        <v>61</v>
      </c>
      <c r="H129" s="81">
        <v>0.0</v>
      </c>
    </row>
    <row r="130" ht="15.75" customHeight="1">
      <c r="B130" s="42" t="s">
        <v>45</v>
      </c>
      <c r="C130" s="15" t="s">
        <v>61</v>
      </c>
      <c r="H130" s="82">
        <v>0.0</v>
      </c>
    </row>
    <row r="131" ht="15.75" customHeight="1">
      <c r="B131" s="47" t="s">
        <v>102</v>
      </c>
      <c r="H131" s="48">
        <f>SUM($H$125:$H$130)</f>
        <v>0</v>
      </c>
    </row>
    <row r="132" ht="15.75" customHeight="1">
      <c r="H132" s="1"/>
    </row>
    <row r="133" ht="15.75" customHeight="1">
      <c r="A133" s="83"/>
      <c r="B133" s="3"/>
      <c r="C133" s="84" t="s">
        <v>128</v>
      </c>
      <c r="G133" s="85">
        <f>SUM(G50,G63,G99,G110)</f>
        <v>0.6612546296</v>
      </c>
      <c r="H133" s="3"/>
    </row>
    <row r="134" ht="15.75" customHeight="1">
      <c r="H134" s="1"/>
    </row>
    <row r="135" ht="15.75" customHeight="1">
      <c r="B135" s="86" t="s">
        <v>129</v>
      </c>
    </row>
    <row r="136" ht="15.75" customHeight="1">
      <c r="B136" s="87">
        <v>6.0</v>
      </c>
      <c r="C136" s="88" t="s">
        <v>51</v>
      </c>
      <c r="G136" s="89" t="s">
        <v>52</v>
      </c>
      <c r="H136" s="90" t="s">
        <v>53</v>
      </c>
    </row>
    <row r="137" ht="15.75" customHeight="1">
      <c r="B137" s="91" t="s">
        <v>17</v>
      </c>
      <c r="C137" s="92" t="s">
        <v>130</v>
      </c>
      <c r="G137" s="93">
        <v>0.05</v>
      </c>
      <c r="H137" s="57">
        <f>(MODULO_1+MODULO_2+MODULO_3+MODULO_4+MODULO_5)*G137</f>
        <v>0</v>
      </c>
    </row>
    <row r="138" ht="15.75" customHeight="1">
      <c r="B138" s="94" t="s">
        <v>19</v>
      </c>
      <c r="C138" s="95" t="s">
        <v>131</v>
      </c>
      <c r="G138" s="96">
        <v>0.1</v>
      </c>
      <c r="H138" s="97">
        <f>(MODULO_1+MODULO_2+MODULO_3+MODULO_4+MODULO_5+CUSTO_INDIRETO)*G138</f>
        <v>0</v>
      </c>
    </row>
    <row r="139" ht="15.75" customHeight="1">
      <c r="A139" s="8"/>
      <c r="B139" s="91" t="s">
        <v>132</v>
      </c>
      <c r="C139" s="92" t="s">
        <v>133</v>
      </c>
      <c r="D139" s="92" t="s">
        <v>134</v>
      </c>
      <c r="F139" s="55" t="s">
        <v>135</v>
      </c>
      <c r="G139" s="98">
        <f>SUM($G$140:$G$142)</f>
        <v>0.0925</v>
      </c>
      <c r="H139" s="99">
        <f>SUM($H$140:$H$142)</f>
        <v>0</v>
      </c>
    </row>
    <row r="140" ht="31.5" customHeight="1">
      <c r="A140" s="30"/>
      <c r="B140" s="100" t="s">
        <v>136</v>
      </c>
      <c r="C140" s="26" t="s">
        <v>137</v>
      </c>
      <c r="D140" s="101" t="str">
        <f t="shared" ref="D140:D141" si="1">IFS($F$139="LUCRO REAL","A licitante deve informar a alíquota ajustada conforme apuração do percentual médio de recolhimento, em consonância com a legislação fiscal vigente",$F$139="SIMPLES NACIONAL","A licitante deve informar a alíquota efetiva, conforme cálculo previsto na Lei Complementar 123/2006",$F$139="LUCRO PRESUMIDO","")</f>
        <v>A licitante deve informar a alíquota ajustada conforme apuração do percentual médio de recolhimento, em consonância com a legislação fiscal vigente</v>
      </c>
      <c r="G140" s="102">
        <f>IFS($F$139="LUCRO REAL",1.65%,$F$139="SIMPLES NACIONAL",0.7%,$F$139="LUCRO PRESUMIDO",0.65%)</f>
        <v>0.0165</v>
      </c>
      <c r="H140" s="97">
        <f>(MODULO_1+MODULO_2+MODULO_3+MODULO_4+MODULO_5+CUSTO_INDIRETO+LUCRO)/(1-($G$140+G141+$G$144))*$G$140</f>
        <v>0</v>
      </c>
    </row>
    <row r="141" ht="31.5" customHeight="1">
      <c r="A141" s="30"/>
      <c r="B141" s="52" t="s">
        <v>138</v>
      </c>
      <c r="C141" s="53" t="s">
        <v>139</v>
      </c>
      <c r="D141" s="103" t="str">
        <f t="shared" si="1"/>
        <v>A licitante deve informar a alíquota ajustada conforme apuração do percentual médio de recolhimento, em consonância com a legislação fiscal vigente</v>
      </c>
      <c r="G141" s="56">
        <f>IFS($F$139="LUCRO REAL",7.6%,$F$139="SIMPLES NACIONAL",3.24%,$F$139="LUCRO PRESUMIDO",3%)</f>
        <v>0.076</v>
      </c>
      <c r="H141" s="57">
        <f>(MODULO_1+MODULO_2+MODULO_3+MODULO_4+MODULO_5+CUSTO_INDIRETO+LUCRO)/(1-($G$140+G141+$G$144))*$G$141</f>
        <v>0</v>
      </c>
    </row>
    <row r="142" ht="15.75" customHeight="1">
      <c r="B142" s="100" t="s">
        <v>140</v>
      </c>
      <c r="C142" s="104" t="str">
        <f>IF(E54="SIM","Licitante deve informar alíquota CPRB (Contribuição Previdenciária sobre a Receita Bruta) conforme Lei 12.546/2011","Outros (especificar)")</f>
        <v>Outros (especificar)</v>
      </c>
      <c r="G142" s="102">
        <f>IF(E54="SIM",4.5%,0%)</f>
        <v>0</v>
      </c>
      <c r="H142" s="105">
        <f>IF(E54="NÃO",(MODULO_1+MODULO_2+MODULO_3+MODULO_4+MODULO_5+CUSTO_INDIRETO+LUCRO)*G142,"INFORMAR")</f>
        <v>0</v>
      </c>
    </row>
    <row r="143" ht="15.75" customHeight="1">
      <c r="A143" s="8"/>
      <c r="B143" s="91" t="s">
        <v>141</v>
      </c>
      <c r="C143" s="92" t="s">
        <v>142</v>
      </c>
      <c r="G143" s="98">
        <f>SUM($G$144)</f>
        <v>0.025</v>
      </c>
      <c r="H143" s="99">
        <f>SUM($H$144)</f>
        <v>0</v>
      </c>
    </row>
    <row r="144" ht="15.75" customHeight="1">
      <c r="B144" s="100" t="s">
        <v>143</v>
      </c>
      <c r="C144" s="26" t="s">
        <v>144</v>
      </c>
      <c r="G144" s="102">
        <v>0.025</v>
      </c>
      <c r="H144" s="97">
        <f>(MODULO_1+MODULO_2+MODULO_3+MODULO_4+MODULO_5+CUSTO_INDIRETO+LUCRO)/(1-($G$140+G141+$G$144))*$G$144</f>
        <v>0</v>
      </c>
    </row>
    <row r="145" ht="15.75" customHeight="1">
      <c r="B145" s="106" t="s">
        <v>123</v>
      </c>
      <c r="G145" s="107">
        <f>(1+G137)*(1+G138)/(1-(G139+G143))-1</f>
        <v>0.3087818697</v>
      </c>
      <c r="H145" s="108">
        <f>SUM(CUSTO_INDIRETO,LUCRO,$H$139,$H$143)</f>
        <v>0</v>
      </c>
    </row>
    <row r="146" ht="15.75" customHeight="1">
      <c r="H146" s="1"/>
    </row>
    <row r="147" ht="15.75" customHeight="1">
      <c r="B147" s="109" t="s">
        <v>145</v>
      </c>
    </row>
    <row r="148" ht="15.75" customHeight="1">
      <c r="B148" s="35" t="s">
        <v>146</v>
      </c>
      <c r="H148" s="37" t="s">
        <v>53</v>
      </c>
    </row>
    <row r="149" ht="15.75" customHeight="1">
      <c r="B149" s="38" t="s">
        <v>17</v>
      </c>
      <c r="C149" s="39" t="s">
        <v>147</v>
      </c>
      <c r="H149" s="41">
        <f>MODULO_1</f>
        <v>0</v>
      </c>
    </row>
    <row r="150" ht="15.75" customHeight="1">
      <c r="B150" s="42" t="s">
        <v>19</v>
      </c>
      <c r="C150" s="15" t="s">
        <v>148</v>
      </c>
      <c r="H150" s="45">
        <f>MODULO_2</f>
        <v>0</v>
      </c>
    </row>
    <row r="151" ht="15.75" customHeight="1">
      <c r="B151" s="38" t="s">
        <v>22</v>
      </c>
      <c r="C151" s="39" t="s">
        <v>149</v>
      </c>
      <c r="H151" s="41">
        <f>MODULO_3</f>
        <v>0</v>
      </c>
    </row>
    <row r="152" ht="15.75" customHeight="1">
      <c r="B152" s="42" t="s">
        <v>25</v>
      </c>
      <c r="C152" s="15" t="s">
        <v>150</v>
      </c>
      <c r="H152" s="45">
        <f>MODULO_4</f>
        <v>0</v>
      </c>
    </row>
    <row r="153" ht="15.75" customHeight="1">
      <c r="B153" s="38" t="s">
        <v>43</v>
      </c>
      <c r="C153" s="39" t="s">
        <v>151</v>
      </c>
      <c r="H153" s="41">
        <f>MODULO_5</f>
        <v>0</v>
      </c>
    </row>
    <row r="154" ht="15.75" customHeight="1">
      <c r="B154" s="110" t="s">
        <v>152</v>
      </c>
      <c r="H154" s="111">
        <f>SUM($H$149:$H$153)</f>
        <v>0</v>
      </c>
    </row>
    <row r="155" ht="15.75" customHeight="1">
      <c r="B155" s="38" t="s">
        <v>45</v>
      </c>
      <c r="C155" s="39" t="s">
        <v>153</v>
      </c>
      <c r="H155" s="41">
        <f>MODULO_6</f>
        <v>0</v>
      </c>
    </row>
    <row r="156" ht="15.75" customHeight="1">
      <c r="B156" s="112" t="s">
        <v>154</v>
      </c>
      <c r="H156" s="113">
        <f>SUM($H$154:$H$155)</f>
        <v>0</v>
      </c>
    </row>
    <row r="157" ht="15.75" customHeight="1">
      <c r="B157" s="112" t="s">
        <v>155</v>
      </c>
      <c r="E157" s="114">
        <f>$D$22</f>
        <v>1</v>
      </c>
      <c r="F157" s="112" t="s">
        <v>156</v>
      </c>
      <c r="H157" s="113">
        <f>$H$156*$E$157</f>
        <v>0</v>
      </c>
    </row>
    <row r="158" ht="15.75" customHeight="1">
      <c r="B158" s="112" t="s">
        <v>157</v>
      </c>
      <c r="E158" s="114">
        <f>$G$22</f>
        <v>1</v>
      </c>
      <c r="F158" s="112" t="s">
        <v>158</v>
      </c>
      <c r="H158" s="113">
        <f>$H$157*$E$158</f>
        <v>0</v>
      </c>
    </row>
    <row r="159" ht="15.75" customHeight="1">
      <c r="B159" s="112" t="s">
        <v>159</v>
      </c>
      <c r="H159" s="113">
        <f>$H$158*$G$18</f>
        <v>0</v>
      </c>
    </row>
    <row r="160" ht="15.75" customHeight="1">
      <c r="H160" s="1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7">
    <mergeCell ref="C27:F27"/>
    <mergeCell ref="C28:F28"/>
    <mergeCell ref="G28:H28"/>
    <mergeCell ref="C29:F29"/>
    <mergeCell ref="G29:H29"/>
    <mergeCell ref="C30:F30"/>
    <mergeCell ref="G30:H30"/>
    <mergeCell ref="C31:F31"/>
    <mergeCell ref="G31:H31"/>
    <mergeCell ref="C32:F32"/>
    <mergeCell ref="G32:H32"/>
    <mergeCell ref="C33:F33"/>
    <mergeCell ref="G33:H33"/>
    <mergeCell ref="B35:H35"/>
    <mergeCell ref="B2:H2"/>
    <mergeCell ref="B3:H3"/>
    <mergeCell ref="B4:H4"/>
    <mergeCell ref="B5:H5"/>
    <mergeCell ref="B6:E6"/>
    <mergeCell ref="F6:H6"/>
    <mergeCell ref="B7:H7"/>
    <mergeCell ref="B8:H8"/>
    <mergeCell ref="B9:H9"/>
    <mergeCell ref="B10:C10"/>
    <mergeCell ref="D10:F10"/>
    <mergeCell ref="G10:H10"/>
    <mergeCell ref="B11:C11"/>
    <mergeCell ref="F11:H11"/>
    <mergeCell ref="D11:E11"/>
    <mergeCell ref="B12:E12"/>
    <mergeCell ref="F12:H12"/>
    <mergeCell ref="B14:H14"/>
    <mergeCell ref="C15:F15"/>
    <mergeCell ref="G15:H15"/>
    <mergeCell ref="G16:H16"/>
    <mergeCell ref="D21:E21"/>
    <mergeCell ref="G21:H21"/>
    <mergeCell ref="C16:F16"/>
    <mergeCell ref="C17:F17"/>
    <mergeCell ref="G17:H17"/>
    <mergeCell ref="C18:F18"/>
    <mergeCell ref="G18:H18"/>
    <mergeCell ref="B20:H20"/>
    <mergeCell ref="B21:C21"/>
    <mergeCell ref="B22:C22"/>
    <mergeCell ref="D22:E22"/>
    <mergeCell ref="G22:H22"/>
    <mergeCell ref="B24:H24"/>
    <mergeCell ref="B25:H25"/>
    <mergeCell ref="B26:H26"/>
    <mergeCell ref="G27:H27"/>
    <mergeCell ref="C36:F36"/>
    <mergeCell ref="C37:F37"/>
    <mergeCell ref="E38:F38"/>
    <mergeCell ref="E39:F39"/>
    <mergeCell ref="E40:F40"/>
    <mergeCell ref="C41:F41"/>
    <mergeCell ref="C42:F42"/>
    <mergeCell ref="C87:G87"/>
    <mergeCell ref="C88:G88"/>
    <mergeCell ref="B89:G89"/>
    <mergeCell ref="B91:H91"/>
    <mergeCell ref="C92:F92"/>
    <mergeCell ref="C93:F93"/>
    <mergeCell ref="C94:F94"/>
    <mergeCell ref="C95:F95"/>
    <mergeCell ref="C96:F96"/>
    <mergeCell ref="C97:F97"/>
    <mergeCell ref="C98:F98"/>
    <mergeCell ref="B99:F99"/>
    <mergeCell ref="B101:H101"/>
    <mergeCell ref="B102:H102"/>
    <mergeCell ref="B110:F110"/>
    <mergeCell ref="B112:H112"/>
    <mergeCell ref="C113:F113"/>
    <mergeCell ref="C114:F114"/>
    <mergeCell ref="B115:F115"/>
    <mergeCell ref="B117:H117"/>
    <mergeCell ref="C118:F118"/>
    <mergeCell ref="C119:F119"/>
    <mergeCell ref="C120:F120"/>
    <mergeCell ref="B121:G121"/>
    <mergeCell ref="B123:H123"/>
    <mergeCell ref="C124:G124"/>
    <mergeCell ref="C125:G125"/>
    <mergeCell ref="C126:G126"/>
    <mergeCell ref="C127:G127"/>
    <mergeCell ref="C128:G128"/>
    <mergeCell ref="C129:G129"/>
    <mergeCell ref="C130:G130"/>
    <mergeCell ref="B131:G131"/>
    <mergeCell ref="C133:F133"/>
    <mergeCell ref="B135:H135"/>
    <mergeCell ref="C136:F136"/>
    <mergeCell ref="C137:F137"/>
    <mergeCell ref="C138:F138"/>
    <mergeCell ref="D139:E139"/>
    <mergeCell ref="D140:F140"/>
    <mergeCell ref="D141:F141"/>
    <mergeCell ref="C142:F142"/>
    <mergeCell ref="C143:F143"/>
    <mergeCell ref="C144:F144"/>
    <mergeCell ref="B145:F145"/>
    <mergeCell ref="B147:H147"/>
    <mergeCell ref="B148:G148"/>
    <mergeCell ref="C149:G149"/>
    <mergeCell ref="C150:G150"/>
    <mergeCell ref="B157:D157"/>
    <mergeCell ref="B158:D158"/>
    <mergeCell ref="F158:G158"/>
    <mergeCell ref="B159:G159"/>
    <mergeCell ref="C151:G151"/>
    <mergeCell ref="C152:G152"/>
    <mergeCell ref="C153:G153"/>
    <mergeCell ref="B154:G154"/>
    <mergeCell ref="C155:G155"/>
    <mergeCell ref="B156:G156"/>
    <mergeCell ref="F157:G157"/>
    <mergeCell ref="B43:G43"/>
    <mergeCell ref="B45:H45"/>
    <mergeCell ref="B46:H46"/>
    <mergeCell ref="C47:F47"/>
    <mergeCell ref="C48:F48"/>
    <mergeCell ref="C49:F49"/>
    <mergeCell ref="B50:F50"/>
    <mergeCell ref="B52:H52"/>
    <mergeCell ref="C53:F53"/>
    <mergeCell ref="C55:F55"/>
    <mergeCell ref="B56:B57"/>
    <mergeCell ref="C56:C57"/>
    <mergeCell ref="G56:G57"/>
    <mergeCell ref="H56:H57"/>
    <mergeCell ref="D56:F56"/>
    <mergeCell ref="C58:F58"/>
    <mergeCell ref="C59:F59"/>
    <mergeCell ref="C60:F60"/>
    <mergeCell ref="C61:F61"/>
    <mergeCell ref="C62:F62"/>
    <mergeCell ref="B63:F63"/>
    <mergeCell ref="B65:H65"/>
    <mergeCell ref="C66:F66"/>
    <mergeCell ref="B67:B68"/>
    <mergeCell ref="D67:F67"/>
    <mergeCell ref="C68:F68"/>
    <mergeCell ref="D69:F69"/>
    <mergeCell ref="C70:F70"/>
    <mergeCell ref="C71:F71"/>
    <mergeCell ref="C72:F72"/>
    <mergeCell ref="C73:F73"/>
    <mergeCell ref="C74:F74"/>
    <mergeCell ref="C75:F75"/>
    <mergeCell ref="B76:G76"/>
    <mergeCell ref="B78:H78"/>
    <mergeCell ref="C79:F79"/>
    <mergeCell ref="C80:F80"/>
    <mergeCell ref="B81:G81"/>
    <mergeCell ref="B83:H83"/>
    <mergeCell ref="C84:G84"/>
    <mergeCell ref="C85:G85"/>
    <mergeCell ref="C86:G86"/>
    <mergeCell ref="C103:F103"/>
    <mergeCell ref="C104:F104"/>
    <mergeCell ref="C105:F105"/>
    <mergeCell ref="C106:F106"/>
    <mergeCell ref="C107:F107"/>
    <mergeCell ref="C108:F108"/>
    <mergeCell ref="C109:F109"/>
  </mergeCells>
  <conditionalFormatting sqref="C142:F142">
    <cfRule type="cellIs" dxfId="0" priority="1" operator="equal">
      <formula>"Licitante deve informar alíquota CPRB (Contribuição Previdenciária sobre a Receita Bruta) conforme Lei 12.546/2011"</formula>
    </cfRule>
  </conditionalFormatting>
  <dataValidations>
    <dataValidation type="list" allowBlank="1" showInputMessage="1" prompt="Certifique-se de estar usando os valores corretos." sqref="G32">
      <formula1>AUX!$E$2:$E160</formula1>
    </dataValidation>
    <dataValidation type="list" allowBlank="1" showErrorMessage="1" sqref="D57">
      <formula1>"RAT = 1%,RAT = 2%,RAT = 3%"</formula1>
    </dataValidation>
    <dataValidation type="list" allowBlank="1" showErrorMessage="1" sqref="E39">
      <formula1>"SALÁRIO-BASE,SALÁRIO MÍNIMO"</formula1>
    </dataValidation>
    <dataValidation type="list" allowBlank="1" showErrorMessage="1" sqref="F139">
      <formula1>"LUCRO PRESUMIDO,LUCRO REAL,SIMPLES NACIONAL"</formula1>
    </dataValidation>
    <dataValidation type="list" allowBlank="1" showErrorMessage="1" sqref="D39">
      <formula1>AUX!$A$3:$A$6</formula1>
    </dataValidation>
    <dataValidation type="list" allowBlank="1" showInputMessage="1" prompt="Escolha na lista a unidade de medida ou informe outro valor." sqref="F22">
      <formula1>"Posto de Serviço,Metro Quadrado,Hora Técnica Profissional,Outro (especificar)"</formula1>
    </dataValidation>
    <dataValidation type="list" allowBlank="1" showErrorMessage="1" sqref="D38 D40 E54">
      <formula1>"SIM,NÃO"</formula1>
    </dataValidation>
    <dataValidation type="decimal" allowBlank="1" showDropDown="1" showInputMessage="1" showErrorMessage="1" prompt="Insira um número entre 0,5 e 2." sqref="F57">
      <formula1>0.5</formula1>
      <formula2>2.0</formula2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51.38"/>
    <col customWidth="1" min="2" max="2" width="9.5"/>
    <col customWidth="1" min="3" max="3" width="14.25"/>
  </cols>
  <sheetData>
    <row r="1">
      <c r="A1" s="115" t="s">
        <v>160</v>
      </c>
    </row>
    <row r="2">
      <c r="A2" s="20"/>
      <c r="B2" s="116"/>
      <c r="C2" s="30"/>
      <c r="D2" s="30"/>
    </row>
    <row r="3">
      <c r="A3" s="117" t="s">
        <v>161</v>
      </c>
      <c r="B3" s="118"/>
      <c r="C3" s="119">
        <f>VALOR_POSTO</f>
        <v>0</v>
      </c>
      <c r="D3" s="30"/>
    </row>
    <row r="4">
      <c r="A4" s="117" t="s">
        <v>162</v>
      </c>
      <c r="B4" s="118">
        <v>0.11</v>
      </c>
      <c r="C4" s="119">
        <f>-C3*B4</f>
        <v>0</v>
      </c>
      <c r="D4" s="30"/>
    </row>
    <row r="5">
      <c r="A5" s="117" t="s">
        <v>163</v>
      </c>
      <c r="B5" s="118">
        <v>0.0945</v>
      </c>
      <c r="C5" s="119">
        <f>-C3*B5</f>
        <v>0</v>
      </c>
      <c r="D5" s="30"/>
    </row>
    <row r="6">
      <c r="A6" s="117" t="s">
        <v>164</v>
      </c>
      <c r="B6" s="118">
        <f>MODELO!G144</f>
        <v>0.025</v>
      </c>
      <c r="C6" s="119">
        <f>-C3*B6</f>
        <v>0</v>
      </c>
      <c r="D6" s="30"/>
    </row>
    <row r="7">
      <c r="A7" s="117" t="s">
        <v>165</v>
      </c>
      <c r="B7" s="118">
        <v>0.0893</v>
      </c>
      <c r="C7" s="119">
        <f>-MODELO!H43*B7*EMPREG_POR_POSTO</f>
        <v>0</v>
      </c>
      <c r="D7" s="30"/>
    </row>
    <row r="8">
      <c r="A8" s="117" t="s">
        <v>166</v>
      </c>
      <c r="B8" s="118">
        <v>0.1191</v>
      </c>
      <c r="C8" s="119">
        <f>-MODELO!H43*B8*EMPREG_POR_POSTO</f>
        <v>0</v>
      </c>
      <c r="D8" s="30"/>
    </row>
    <row r="9">
      <c r="A9" s="117" t="s">
        <v>167</v>
      </c>
      <c r="B9" s="118">
        <v>0.0435</v>
      </c>
      <c r="C9" s="119">
        <f>-MODELO!H43*B9*EMPREG_POR_POSTO</f>
        <v>0</v>
      </c>
      <c r="D9" s="30"/>
    </row>
    <row r="10">
      <c r="A10" s="117" t="s">
        <v>168</v>
      </c>
      <c r="B10" s="118">
        <v>0.0767</v>
      </c>
      <c r="C10" s="119">
        <f>-(MODULO_1+MODULO_2.1)*B10*EMPREG_POR_POSTO</f>
        <v>0</v>
      </c>
      <c r="D10" s="30"/>
    </row>
    <row r="11">
      <c r="A11" s="117" t="s">
        <v>169</v>
      </c>
      <c r="B11" s="118"/>
      <c r="C11" s="119">
        <f>-SUM(MODELO!$H$55:$H$62)*EMPREG_POR_POSTO</f>
        <v>0</v>
      </c>
      <c r="D11" s="30"/>
    </row>
    <row r="12">
      <c r="A12" s="117" t="s">
        <v>170</v>
      </c>
      <c r="B12" s="118">
        <v>0.2</v>
      </c>
      <c r="C12" s="119">
        <f>MODELO!$H$54*EMPREG_POR_POSTO</f>
        <v>0</v>
      </c>
      <c r="D12" s="30"/>
    </row>
    <row r="13">
      <c r="A13" s="117" t="s">
        <v>171</v>
      </c>
      <c r="B13" s="118"/>
      <c r="C13" s="119">
        <f>SUM(C3:C12)</f>
        <v>0</v>
      </c>
      <c r="D13" s="30"/>
    </row>
    <row r="14">
      <c r="A14" s="117" t="s">
        <v>172</v>
      </c>
      <c r="B14" s="118"/>
      <c r="C14" s="119">
        <f>-MODULO_1</f>
        <v>0</v>
      </c>
      <c r="D14" s="30"/>
    </row>
    <row r="15">
      <c r="A15" s="117" t="s">
        <v>173</v>
      </c>
      <c r="B15" s="118"/>
      <c r="C15" s="119">
        <f>-MODULO_2.3</f>
        <v>0</v>
      </c>
      <c r="D15" s="30"/>
    </row>
    <row r="16">
      <c r="A16" s="117" t="s">
        <v>174</v>
      </c>
      <c r="B16" s="118"/>
      <c r="C16" s="120">
        <f>SUM(C13:C15)</f>
        <v>0</v>
      </c>
      <c r="D16" s="121" t="str">
        <f>C16/C3</f>
        <v>#DIV/0!</v>
      </c>
    </row>
    <row r="17">
      <c r="A17" s="122" t="s">
        <v>175</v>
      </c>
    </row>
  </sheetData>
  <mergeCells count="2">
    <mergeCell ref="A1:D1"/>
    <mergeCell ref="A17:D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75"/>
  </cols>
  <sheetData>
    <row r="1" ht="15.75" customHeight="1">
      <c r="A1" s="123" t="s">
        <v>176</v>
      </c>
      <c r="D1" s="124" t="s">
        <v>177</v>
      </c>
      <c r="E1" s="125"/>
    </row>
    <row r="2" ht="15.75" customHeight="1">
      <c r="A2" s="126" t="s">
        <v>178</v>
      </c>
      <c r="B2" s="126" t="s">
        <v>179</v>
      </c>
      <c r="D2" s="127" t="s">
        <v>180</v>
      </c>
      <c r="E2" s="128">
        <v>15.21</v>
      </c>
    </row>
    <row r="3" ht="15.75" customHeight="1">
      <c r="A3" s="129" t="s">
        <v>181</v>
      </c>
      <c r="B3" s="130">
        <v>0.4</v>
      </c>
      <c r="D3" s="127" t="s">
        <v>182</v>
      </c>
      <c r="E3" s="128">
        <v>21.01</v>
      </c>
    </row>
    <row r="4" ht="15.75" customHeight="1">
      <c r="A4" s="129" t="s">
        <v>183</v>
      </c>
      <c r="B4" s="130">
        <v>0.2</v>
      </c>
      <c r="D4" s="127" t="s">
        <v>184</v>
      </c>
      <c r="E4" s="128">
        <v>22.0</v>
      </c>
    </row>
    <row r="5" ht="15.75" customHeight="1">
      <c r="A5" s="129" t="s">
        <v>185</v>
      </c>
      <c r="B5" s="130">
        <v>0.1</v>
      </c>
      <c r="D5" s="127" t="s">
        <v>186</v>
      </c>
      <c r="E5" s="128">
        <v>25.22</v>
      </c>
    </row>
    <row r="6" ht="15.75" customHeight="1">
      <c r="A6" s="129" t="s">
        <v>56</v>
      </c>
      <c r="B6" s="130">
        <v>0.0</v>
      </c>
      <c r="D6" s="127" t="s">
        <v>187</v>
      </c>
      <c r="E6" s="128">
        <v>30.42</v>
      </c>
    </row>
    <row r="7" ht="15.75" customHeight="1"/>
    <row r="8" ht="15.75" customHeight="1">
      <c r="A8" s="129" t="s">
        <v>188</v>
      </c>
      <c r="B8" s="131">
        <v>1212.0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D1:E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38"/>
    <col customWidth="1" min="3" max="3" width="14.13"/>
    <col customWidth="1" min="4" max="4" width="20.38"/>
    <col customWidth="1" min="5" max="5" width="12.88"/>
  </cols>
  <sheetData>
    <row r="1" ht="15.75" customHeight="1">
      <c r="E1" s="132"/>
    </row>
    <row r="2" ht="15.75" customHeight="1">
      <c r="A2" s="133"/>
      <c r="B2" s="133" t="s">
        <v>189</v>
      </c>
      <c r="C2" s="133" t="s">
        <v>190</v>
      </c>
      <c r="D2" s="133" t="s">
        <v>191</v>
      </c>
      <c r="E2" s="134" t="s">
        <v>192</v>
      </c>
      <c r="F2" s="133" t="s">
        <v>193</v>
      </c>
      <c r="G2" s="133" t="s">
        <v>194</v>
      </c>
    </row>
    <row r="3" ht="15.75" customHeight="1">
      <c r="A3" s="133" t="str">
        <f>'ANALISTA SENIOR'!A103</f>
        <v>#REF!</v>
      </c>
      <c r="B3" s="133">
        <v>2.0</v>
      </c>
      <c r="C3" s="133" t="str">
        <f>'ANALISTA SENIOR'!D98</f>
        <v>#REF!</v>
      </c>
      <c r="D3" s="135" t="str">
        <f>'ANALISTA SENIOR'!E103</f>
        <v>#REF!</v>
      </c>
      <c r="E3" s="134" t="str">
        <f t="shared" ref="E3:E4" si="1">C3*12</f>
        <v>#REF!</v>
      </c>
      <c r="F3" s="136" t="str">
        <f>'ANALISTA SENIOR'!F103</f>
        <v>#REF!</v>
      </c>
      <c r="G3" s="137" t="str">
        <f>(C3/2)/C4</f>
        <v>#REF!</v>
      </c>
    </row>
    <row r="4" ht="15.75" customHeight="1">
      <c r="A4" s="133" t="str">
        <f>'ANALISTA PLENO'!A103</f>
        <v>#REF!</v>
      </c>
      <c r="B4" s="133">
        <v>1.0</v>
      </c>
      <c r="C4" s="133" t="str">
        <f>'ANALISTA PLENO'!C127</f>
        <v>#REF!</v>
      </c>
      <c r="D4" s="135" t="str">
        <f>'ANALISTA PLENO'!E132</f>
        <v>#REF!</v>
      </c>
      <c r="E4" s="134" t="str">
        <f t="shared" si="1"/>
        <v>#REF!</v>
      </c>
      <c r="F4" s="136" t="str">
        <f>'ANALISTA PLENO'!F132</f>
        <v>#REF!</v>
      </c>
      <c r="G4" s="138" t="str">
        <f>C4/C4</f>
        <v>#REF!</v>
      </c>
    </row>
    <row r="5" ht="15.75" customHeight="1">
      <c r="A5" s="133"/>
      <c r="B5" s="133"/>
      <c r="C5" s="139" t="str">
        <f>SUM(C3:C4)</f>
        <v>#REF!</v>
      </c>
      <c r="D5" s="133"/>
      <c r="E5" s="140" t="str">
        <f>SUM(E3:E4)</f>
        <v>#REF!</v>
      </c>
      <c r="F5" s="133"/>
      <c r="G5" s="133"/>
    </row>
    <row r="6" ht="15.75" customHeight="1">
      <c r="E6" s="132"/>
    </row>
    <row r="7" ht="15.75" customHeight="1">
      <c r="E7" s="132"/>
    </row>
    <row r="8" ht="15.75" customHeight="1">
      <c r="E8" s="132"/>
    </row>
    <row r="9" ht="15.75" customHeight="1">
      <c r="E9" s="132"/>
    </row>
    <row r="10" ht="15.75" customHeight="1">
      <c r="E10" s="132"/>
    </row>
    <row r="11" ht="15.75" customHeight="1">
      <c r="E11" s="132"/>
    </row>
    <row r="12" ht="15.75" customHeight="1">
      <c r="E12" s="132"/>
    </row>
    <row r="13" ht="15.75" customHeight="1">
      <c r="E13" s="132"/>
    </row>
    <row r="14" ht="15.75" customHeight="1">
      <c r="E14" s="132"/>
    </row>
    <row r="15" ht="15.75" customHeight="1">
      <c r="E15" s="132"/>
    </row>
    <row r="16" ht="15.75" customHeight="1">
      <c r="E16" s="132"/>
    </row>
    <row r="17" ht="15.75" customHeight="1">
      <c r="E17" s="132"/>
    </row>
    <row r="18" ht="15.75" customHeight="1">
      <c r="E18" s="132"/>
    </row>
    <row r="19" ht="15.75" customHeight="1">
      <c r="E19" s="132"/>
    </row>
    <row r="20" ht="15.75" customHeight="1">
      <c r="E20" s="132"/>
    </row>
    <row r="21" ht="15.75" customHeight="1">
      <c r="E21" s="132"/>
    </row>
    <row r="22" ht="15.75" customHeight="1">
      <c r="E22" s="132"/>
    </row>
    <row r="23" ht="15.75" customHeight="1">
      <c r="E23" s="132"/>
    </row>
    <row r="24" ht="15.75" customHeight="1">
      <c r="E24" s="132"/>
    </row>
    <row r="25" ht="15.75" customHeight="1">
      <c r="E25" s="132"/>
    </row>
    <row r="26" ht="15.75" customHeight="1">
      <c r="E26" s="132"/>
    </row>
    <row r="27" ht="15.75" customHeight="1">
      <c r="E27" s="132"/>
    </row>
    <row r="28" ht="15.75" customHeight="1">
      <c r="E28" s="132"/>
    </row>
    <row r="29" ht="15.75" customHeight="1">
      <c r="E29" s="132"/>
    </row>
    <row r="30" ht="15.75" customHeight="1">
      <c r="E30" s="132"/>
    </row>
    <row r="31" ht="15.75" customHeight="1">
      <c r="E31" s="132"/>
    </row>
    <row r="32" ht="15.75" customHeight="1">
      <c r="E32" s="132"/>
    </row>
    <row r="33" ht="15.75" customHeight="1">
      <c r="E33" s="132"/>
    </row>
    <row r="34" ht="15.75" customHeight="1">
      <c r="E34" s="132"/>
    </row>
    <row r="35" ht="15.75" customHeight="1">
      <c r="E35" s="132"/>
    </row>
    <row r="36" ht="15.75" customHeight="1">
      <c r="E36" s="132"/>
    </row>
    <row r="37" ht="15.75" customHeight="1">
      <c r="E37" s="132"/>
    </row>
    <row r="38" ht="15.75" customHeight="1">
      <c r="E38" s="132"/>
    </row>
    <row r="39" ht="15.75" customHeight="1">
      <c r="E39" s="132"/>
    </row>
    <row r="40" ht="15.75" customHeight="1">
      <c r="E40" s="132"/>
    </row>
    <row r="41" ht="15.75" customHeight="1">
      <c r="E41" s="132"/>
    </row>
    <row r="42" ht="15.75" customHeight="1">
      <c r="E42" s="132"/>
    </row>
    <row r="43" ht="15.75" customHeight="1">
      <c r="E43" s="132"/>
    </row>
    <row r="44" ht="15.75" customHeight="1">
      <c r="E44" s="132"/>
    </row>
    <row r="45" ht="15.75" customHeight="1">
      <c r="E45" s="132"/>
    </row>
    <row r="46" ht="15.75" customHeight="1">
      <c r="E46" s="132"/>
    </row>
    <row r="47" ht="15.75" customHeight="1">
      <c r="E47" s="132"/>
    </row>
    <row r="48" ht="15.75" customHeight="1">
      <c r="E48" s="132"/>
    </row>
    <row r="49" ht="15.75" customHeight="1">
      <c r="E49" s="132"/>
    </row>
    <row r="50" ht="15.75" customHeight="1">
      <c r="E50" s="132"/>
    </row>
    <row r="51" ht="15.75" customHeight="1">
      <c r="E51" s="132"/>
    </row>
    <row r="52" ht="15.75" customHeight="1">
      <c r="E52" s="132"/>
    </row>
    <row r="53" ht="15.75" customHeight="1">
      <c r="E53" s="132"/>
    </row>
    <row r="54" ht="15.75" customHeight="1">
      <c r="E54" s="132"/>
    </row>
    <row r="55" ht="15.75" customHeight="1">
      <c r="E55" s="132"/>
    </row>
    <row r="56" ht="15.75" customHeight="1">
      <c r="E56" s="132"/>
    </row>
    <row r="57" ht="15.75" customHeight="1">
      <c r="E57" s="132"/>
    </row>
    <row r="58" ht="15.75" customHeight="1">
      <c r="E58" s="132"/>
    </row>
    <row r="59" ht="15.75" customHeight="1">
      <c r="E59" s="132"/>
    </row>
    <row r="60" ht="15.75" customHeight="1">
      <c r="E60" s="132"/>
    </row>
    <row r="61" ht="15.75" customHeight="1">
      <c r="E61" s="132"/>
    </row>
    <row r="62" ht="15.75" customHeight="1">
      <c r="E62" s="132"/>
    </row>
    <row r="63" ht="15.75" customHeight="1">
      <c r="E63" s="132"/>
    </row>
    <row r="64" ht="15.75" customHeight="1">
      <c r="E64" s="132"/>
    </row>
    <row r="65" ht="15.75" customHeight="1">
      <c r="E65" s="132"/>
    </row>
    <row r="66" ht="15.75" customHeight="1">
      <c r="E66" s="132"/>
    </row>
    <row r="67" ht="15.75" customHeight="1">
      <c r="E67" s="132"/>
    </row>
    <row r="68" ht="15.75" customHeight="1">
      <c r="E68" s="132"/>
    </row>
    <row r="69" ht="15.75" customHeight="1">
      <c r="E69" s="132"/>
    </row>
    <row r="70" ht="15.75" customHeight="1">
      <c r="E70" s="132"/>
    </row>
    <row r="71" ht="15.75" customHeight="1">
      <c r="E71" s="132"/>
    </row>
    <row r="72" ht="15.75" customHeight="1">
      <c r="E72" s="132"/>
    </row>
    <row r="73" ht="15.75" customHeight="1">
      <c r="E73" s="132"/>
    </row>
    <row r="74" ht="15.75" customHeight="1">
      <c r="E74" s="132"/>
    </row>
    <row r="75" ht="15.75" customHeight="1">
      <c r="E75" s="132"/>
    </row>
    <row r="76" ht="15.75" customHeight="1">
      <c r="E76" s="132"/>
    </row>
    <row r="77" ht="15.75" customHeight="1">
      <c r="E77" s="132"/>
    </row>
    <row r="78" ht="15.75" customHeight="1">
      <c r="E78" s="132"/>
    </row>
    <row r="79" ht="15.75" customHeight="1">
      <c r="E79" s="132"/>
    </row>
    <row r="80" ht="15.75" customHeight="1">
      <c r="E80" s="132"/>
    </row>
    <row r="81" ht="15.75" customHeight="1">
      <c r="E81" s="132"/>
    </row>
    <row r="82" ht="15.75" customHeight="1">
      <c r="E82" s="132"/>
    </row>
    <row r="83" ht="15.75" customHeight="1">
      <c r="E83" s="132"/>
    </row>
    <row r="84" ht="15.75" customHeight="1">
      <c r="E84" s="132"/>
    </row>
    <row r="85" ht="15.75" customHeight="1">
      <c r="E85" s="132"/>
    </row>
    <row r="86" ht="15.75" customHeight="1">
      <c r="E86" s="132"/>
    </row>
    <row r="87" ht="15.75" customHeight="1">
      <c r="E87" s="132"/>
    </row>
    <row r="88" ht="15.75" customHeight="1">
      <c r="E88" s="132"/>
    </row>
    <row r="89" ht="15.75" customHeight="1">
      <c r="E89" s="132"/>
    </row>
    <row r="90" ht="15.75" customHeight="1">
      <c r="E90" s="132"/>
    </row>
    <row r="91" ht="15.75" customHeight="1">
      <c r="E91" s="132"/>
    </row>
    <row r="92" ht="15.75" customHeight="1">
      <c r="E92" s="132"/>
    </row>
    <row r="93" ht="15.75" customHeight="1">
      <c r="E93" s="132"/>
    </row>
    <row r="94" ht="15.75" customHeight="1">
      <c r="E94" s="132"/>
    </row>
    <row r="95" ht="15.75" customHeight="1">
      <c r="E95" s="132"/>
    </row>
    <row r="96" ht="15.75" customHeight="1">
      <c r="E96" s="132"/>
    </row>
    <row r="97" ht="15.75" customHeight="1">
      <c r="E97" s="132"/>
    </row>
    <row r="98" ht="15.75" customHeight="1">
      <c r="E98" s="132"/>
    </row>
    <row r="99" ht="15.75" customHeight="1">
      <c r="E99" s="132"/>
    </row>
    <row r="100" ht="15.75" customHeight="1">
      <c r="E100" s="132"/>
    </row>
    <row r="101" ht="15.75" customHeight="1">
      <c r="E101" s="132"/>
    </row>
    <row r="102" ht="15.75" customHeight="1">
      <c r="E102" s="132"/>
    </row>
    <row r="103" ht="15.75" customHeight="1">
      <c r="E103" s="132"/>
    </row>
    <row r="104" ht="15.75" customHeight="1">
      <c r="E104" s="132"/>
    </row>
    <row r="105" ht="15.75" customHeight="1">
      <c r="E105" s="132"/>
    </row>
    <row r="106" ht="15.75" customHeight="1">
      <c r="E106" s="132"/>
    </row>
    <row r="107" ht="15.75" customHeight="1">
      <c r="E107" s="132"/>
    </row>
    <row r="108" ht="15.75" customHeight="1">
      <c r="E108" s="132"/>
    </row>
    <row r="109" ht="15.75" customHeight="1">
      <c r="E109" s="132"/>
    </row>
    <row r="110" ht="15.75" customHeight="1">
      <c r="E110" s="132"/>
    </row>
    <row r="111" ht="15.75" customHeight="1">
      <c r="E111" s="132"/>
    </row>
    <row r="112" ht="15.75" customHeight="1">
      <c r="E112" s="132"/>
    </row>
    <row r="113" ht="15.75" customHeight="1">
      <c r="E113" s="132"/>
    </row>
    <row r="114" ht="15.75" customHeight="1">
      <c r="E114" s="132"/>
    </row>
    <row r="115" ht="15.75" customHeight="1">
      <c r="E115" s="132"/>
    </row>
    <row r="116" ht="15.75" customHeight="1">
      <c r="E116" s="132"/>
    </row>
    <row r="117" ht="15.75" customHeight="1">
      <c r="E117" s="132"/>
    </row>
    <row r="118" ht="15.75" customHeight="1">
      <c r="E118" s="132"/>
    </row>
    <row r="119" ht="15.75" customHeight="1">
      <c r="E119" s="132"/>
    </row>
    <row r="120" ht="15.75" customHeight="1">
      <c r="E120" s="132"/>
    </row>
    <row r="121" ht="15.75" customHeight="1">
      <c r="E121" s="132"/>
    </row>
    <row r="122" ht="15.75" customHeight="1">
      <c r="E122" s="132"/>
    </row>
    <row r="123" ht="15.75" customHeight="1">
      <c r="E123" s="132"/>
    </row>
    <row r="124" ht="15.75" customHeight="1">
      <c r="E124" s="132"/>
    </row>
    <row r="125" ht="15.75" customHeight="1">
      <c r="E125" s="132"/>
    </row>
    <row r="126" ht="15.75" customHeight="1">
      <c r="E126" s="132"/>
    </row>
    <row r="127" ht="15.75" customHeight="1">
      <c r="E127" s="132"/>
    </row>
    <row r="128" ht="15.75" customHeight="1">
      <c r="E128" s="132"/>
    </row>
    <row r="129" ht="15.75" customHeight="1">
      <c r="E129" s="132"/>
    </row>
    <row r="130" ht="15.75" customHeight="1">
      <c r="E130" s="132"/>
    </row>
    <row r="131" ht="15.75" customHeight="1">
      <c r="E131" s="132"/>
    </row>
    <row r="132" ht="15.75" customHeight="1">
      <c r="E132" s="132"/>
    </row>
    <row r="133" ht="15.75" customHeight="1">
      <c r="E133" s="132"/>
    </row>
    <row r="134" ht="15.75" customHeight="1">
      <c r="E134" s="132"/>
    </row>
    <row r="135" ht="15.75" customHeight="1">
      <c r="E135" s="132"/>
    </row>
    <row r="136" ht="15.75" customHeight="1">
      <c r="E136" s="132"/>
    </row>
    <row r="137" ht="15.75" customHeight="1">
      <c r="E137" s="132"/>
    </row>
    <row r="138" ht="15.75" customHeight="1">
      <c r="E138" s="132"/>
    </row>
    <row r="139" ht="15.75" customHeight="1">
      <c r="E139" s="132"/>
    </row>
    <row r="140" ht="15.75" customHeight="1">
      <c r="E140" s="132"/>
    </row>
    <row r="141" ht="15.75" customHeight="1">
      <c r="E141" s="132"/>
    </row>
    <row r="142" ht="15.75" customHeight="1">
      <c r="E142" s="132"/>
    </row>
    <row r="143" ht="15.75" customHeight="1">
      <c r="E143" s="132"/>
    </row>
    <row r="144" ht="15.75" customHeight="1">
      <c r="E144" s="132"/>
    </row>
    <row r="145" ht="15.75" customHeight="1">
      <c r="E145" s="132"/>
    </row>
    <row r="146" ht="15.75" customHeight="1">
      <c r="E146" s="132"/>
    </row>
    <row r="147" ht="15.75" customHeight="1">
      <c r="E147" s="132"/>
    </row>
    <row r="148" ht="15.75" customHeight="1">
      <c r="E148" s="132"/>
    </row>
    <row r="149" ht="15.75" customHeight="1">
      <c r="E149" s="132"/>
    </row>
    <row r="150" ht="15.75" customHeight="1">
      <c r="E150" s="132"/>
    </row>
    <row r="151" ht="15.75" customHeight="1">
      <c r="E151" s="132"/>
    </row>
    <row r="152" ht="15.75" customHeight="1">
      <c r="E152" s="132"/>
    </row>
    <row r="153" ht="15.75" customHeight="1">
      <c r="E153" s="132"/>
    </row>
    <row r="154" ht="15.75" customHeight="1">
      <c r="E154" s="132"/>
    </row>
    <row r="155" ht="15.75" customHeight="1">
      <c r="E155" s="132"/>
    </row>
    <row r="156" ht="15.75" customHeight="1">
      <c r="E156" s="132"/>
    </row>
    <row r="157" ht="15.75" customHeight="1">
      <c r="E157" s="132"/>
    </row>
    <row r="158" ht="15.75" customHeight="1">
      <c r="E158" s="132"/>
    </row>
    <row r="159" ht="15.75" customHeight="1">
      <c r="E159" s="132"/>
    </row>
    <row r="160" ht="15.75" customHeight="1">
      <c r="E160" s="132"/>
    </row>
    <row r="161" ht="15.75" customHeight="1">
      <c r="E161" s="132"/>
    </row>
    <row r="162" ht="15.75" customHeight="1">
      <c r="E162" s="132"/>
    </row>
    <row r="163" ht="15.75" customHeight="1">
      <c r="E163" s="132"/>
    </row>
    <row r="164" ht="15.75" customHeight="1">
      <c r="E164" s="132"/>
    </row>
    <row r="165" ht="15.75" customHeight="1">
      <c r="E165" s="132"/>
    </row>
    <row r="166" ht="15.75" customHeight="1">
      <c r="E166" s="132"/>
    </row>
    <row r="167" ht="15.75" customHeight="1">
      <c r="E167" s="132"/>
    </row>
    <row r="168" ht="15.75" customHeight="1">
      <c r="E168" s="132"/>
    </row>
    <row r="169" ht="15.75" customHeight="1">
      <c r="E169" s="132"/>
    </row>
    <row r="170" ht="15.75" customHeight="1">
      <c r="E170" s="132"/>
    </row>
    <row r="171" ht="15.75" customHeight="1">
      <c r="E171" s="132"/>
    </row>
    <row r="172" ht="15.75" customHeight="1">
      <c r="E172" s="132"/>
    </row>
    <row r="173" ht="15.75" customHeight="1">
      <c r="E173" s="132"/>
    </row>
    <row r="174" ht="15.75" customHeight="1">
      <c r="E174" s="132"/>
    </row>
    <row r="175" ht="15.75" customHeight="1">
      <c r="E175" s="132"/>
    </row>
    <row r="176" ht="15.75" customHeight="1">
      <c r="E176" s="132"/>
    </row>
    <row r="177" ht="15.75" customHeight="1">
      <c r="E177" s="132"/>
    </row>
    <row r="178" ht="15.75" customHeight="1">
      <c r="E178" s="132"/>
    </row>
    <row r="179" ht="15.75" customHeight="1">
      <c r="E179" s="132"/>
    </row>
    <row r="180" ht="15.75" customHeight="1">
      <c r="E180" s="132"/>
    </row>
    <row r="181" ht="15.75" customHeight="1">
      <c r="E181" s="132"/>
    </row>
    <row r="182" ht="15.75" customHeight="1">
      <c r="E182" s="132"/>
    </row>
    <row r="183" ht="15.75" customHeight="1">
      <c r="E183" s="132"/>
    </row>
    <row r="184" ht="15.75" customHeight="1">
      <c r="E184" s="132"/>
    </row>
    <row r="185" ht="15.75" customHeight="1">
      <c r="E185" s="132"/>
    </row>
    <row r="186" ht="15.75" customHeight="1">
      <c r="E186" s="132"/>
    </row>
    <row r="187" ht="15.75" customHeight="1">
      <c r="E187" s="132"/>
    </row>
    <row r="188" ht="15.75" customHeight="1">
      <c r="E188" s="132"/>
    </row>
    <row r="189" ht="15.75" customHeight="1">
      <c r="E189" s="132"/>
    </row>
    <row r="190" ht="15.75" customHeight="1">
      <c r="E190" s="132"/>
    </row>
    <row r="191" ht="15.75" customHeight="1">
      <c r="E191" s="132"/>
    </row>
    <row r="192" ht="15.75" customHeight="1">
      <c r="E192" s="132"/>
    </row>
    <row r="193" ht="15.75" customHeight="1">
      <c r="E193" s="132"/>
    </row>
    <row r="194" ht="15.75" customHeight="1">
      <c r="E194" s="132"/>
    </row>
    <row r="195" ht="15.75" customHeight="1">
      <c r="E195" s="132"/>
    </row>
    <row r="196" ht="15.75" customHeight="1">
      <c r="E196" s="132"/>
    </row>
    <row r="197" ht="15.75" customHeight="1">
      <c r="E197" s="132"/>
    </row>
    <row r="198" ht="15.75" customHeight="1">
      <c r="E198" s="132"/>
    </row>
    <row r="199" ht="15.75" customHeight="1">
      <c r="E199" s="132"/>
    </row>
    <row r="200" ht="15.75" customHeight="1">
      <c r="E200" s="132"/>
    </row>
    <row r="201" ht="15.75" customHeight="1">
      <c r="E201" s="132"/>
    </row>
    <row r="202" ht="15.75" customHeight="1">
      <c r="E202" s="132"/>
    </row>
    <row r="203" ht="15.75" customHeight="1">
      <c r="E203" s="132"/>
    </row>
    <row r="204" ht="15.75" customHeight="1">
      <c r="E204" s="132"/>
    </row>
    <row r="205" ht="15.75" customHeight="1">
      <c r="E205" s="132"/>
    </row>
    <row r="206" ht="15.75" customHeight="1">
      <c r="E206" s="132"/>
    </row>
    <row r="207" ht="15.75" customHeight="1">
      <c r="E207" s="132"/>
    </row>
    <row r="208" ht="15.75" customHeight="1">
      <c r="E208" s="132"/>
    </row>
    <row r="209" ht="15.75" customHeight="1">
      <c r="E209" s="132"/>
    </row>
    <row r="210" ht="15.75" customHeight="1">
      <c r="E210" s="132"/>
    </row>
    <row r="211" ht="15.75" customHeight="1">
      <c r="E211" s="132"/>
    </row>
    <row r="212" ht="15.75" customHeight="1">
      <c r="E212" s="132"/>
    </row>
    <row r="213" ht="15.75" customHeight="1">
      <c r="E213" s="132"/>
    </row>
    <row r="214" ht="15.75" customHeight="1">
      <c r="E214" s="132"/>
    </row>
    <row r="215" ht="15.75" customHeight="1">
      <c r="E215" s="132"/>
    </row>
    <row r="216" ht="15.75" customHeight="1">
      <c r="E216" s="132"/>
    </row>
    <row r="217" ht="15.75" customHeight="1">
      <c r="E217" s="132"/>
    </row>
    <row r="218" ht="15.75" customHeight="1">
      <c r="E218" s="132"/>
    </row>
    <row r="219" ht="15.75" customHeight="1">
      <c r="E219" s="132"/>
    </row>
    <row r="220" ht="15.75" customHeight="1">
      <c r="E220" s="1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2.13"/>
    <col customWidth="1" min="3" max="3" width="14.25"/>
    <col customWidth="1" min="4" max="4" width="14.38"/>
    <col customWidth="1" min="5" max="5" width="27.5"/>
    <col customWidth="1" min="6" max="6" width="23.13"/>
    <col customWidth="1" min="7" max="7" width="20.38"/>
  </cols>
  <sheetData>
    <row r="1" ht="15.75" customHeight="1">
      <c r="A1" s="133" t="s">
        <v>195</v>
      </c>
      <c r="B1" s="133" t="s">
        <v>196</v>
      </c>
      <c r="C1" s="133" t="s">
        <v>197</v>
      </c>
      <c r="D1" s="133" t="s">
        <v>198</v>
      </c>
      <c r="E1" s="133" t="s">
        <v>199</v>
      </c>
      <c r="F1" s="134" t="s">
        <v>200</v>
      </c>
      <c r="G1" s="133" t="s">
        <v>201</v>
      </c>
    </row>
    <row r="2" ht="15.75" customHeight="1">
      <c r="A2" s="133" t="s">
        <v>202</v>
      </c>
      <c r="B2" s="134" t="str">
        <f t="shared" ref="B2:B4" si="1">IFERROR(IFS(C2="ALTA",'ANALISTA SENIOR'!$E$103,C2="MÉDIA",'ANALISTA PLENO'!$E$132),"")</f>
        <v/>
      </c>
      <c r="C2" s="133" t="s">
        <v>203</v>
      </c>
      <c r="D2" s="133">
        <v>100.0</v>
      </c>
      <c r="E2" s="133">
        <v>12.0</v>
      </c>
      <c r="F2" s="134">
        <f t="shared" ref="F2:F4" si="2">B2*D2</f>
        <v>0</v>
      </c>
      <c r="G2" s="134">
        <f t="shared" ref="G2:G4" si="3">F2*E2</f>
        <v>0</v>
      </c>
    </row>
    <row r="3" ht="15.75" customHeight="1">
      <c r="A3" s="133" t="s">
        <v>204</v>
      </c>
      <c r="B3" s="134" t="str">
        <f t="shared" si="1"/>
        <v/>
      </c>
      <c r="C3" s="133" t="s">
        <v>205</v>
      </c>
      <c r="D3" s="133">
        <v>200.0</v>
      </c>
      <c r="E3" s="133">
        <v>12.0</v>
      </c>
      <c r="F3" s="134">
        <f t="shared" si="2"/>
        <v>0</v>
      </c>
      <c r="G3" s="134">
        <f t="shared" si="3"/>
        <v>0</v>
      </c>
    </row>
    <row r="4" ht="15.75" customHeight="1">
      <c r="A4" s="133" t="s">
        <v>206</v>
      </c>
      <c r="B4" s="134" t="str">
        <f t="shared" si="1"/>
        <v/>
      </c>
      <c r="C4" s="133"/>
      <c r="D4" s="133"/>
      <c r="E4" s="133"/>
      <c r="F4" s="134">
        <f t="shared" si="2"/>
        <v>0</v>
      </c>
      <c r="G4" s="134">
        <f t="shared" si="3"/>
        <v>0</v>
      </c>
    </row>
    <row r="5" ht="15.75" customHeight="1">
      <c r="A5" s="141" t="s">
        <v>207</v>
      </c>
      <c r="B5" s="142"/>
      <c r="C5" s="142"/>
      <c r="D5" s="142"/>
      <c r="E5" s="142"/>
      <c r="F5" s="125"/>
      <c r="G5" s="143">
        <f>SUM(G2:G4)</f>
        <v>0</v>
      </c>
    </row>
    <row r="6" ht="15.75" customHeight="1">
      <c r="F6" s="132"/>
    </row>
    <row r="7" ht="15.75" customHeight="1">
      <c r="F7" s="132"/>
    </row>
    <row r="8" ht="15.75" customHeight="1">
      <c r="F8" s="132"/>
    </row>
    <row r="9" ht="15.75" customHeight="1">
      <c r="F9" s="132"/>
    </row>
    <row r="10" ht="15.75" customHeight="1">
      <c r="F10" s="132"/>
    </row>
    <row r="11" ht="15.75" customHeight="1">
      <c r="F11" s="132"/>
    </row>
    <row r="12" ht="15.75" customHeight="1">
      <c r="F12" s="132"/>
    </row>
    <row r="13" ht="15.75" customHeight="1">
      <c r="F13" s="132"/>
    </row>
    <row r="14" ht="15.75" customHeight="1">
      <c r="F14" s="132"/>
    </row>
    <row r="15" ht="15.75" customHeight="1">
      <c r="F15" s="132"/>
    </row>
    <row r="16" ht="15.75" customHeight="1">
      <c r="F16" s="132"/>
    </row>
    <row r="17" ht="15.75" customHeight="1">
      <c r="F17" s="132"/>
    </row>
    <row r="18" ht="15.75" customHeight="1">
      <c r="F18" s="132"/>
    </row>
    <row r="19" ht="15.75" customHeight="1">
      <c r="F19" s="132"/>
    </row>
    <row r="20" ht="15.75" customHeight="1">
      <c r="F20" s="132"/>
    </row>
    <row r="21" ht="15.75" customHeight="1">
      <c r="F21" s="132"/>
    </row>
    <row r="22" ht="15.75" customHeight="1">
      <c r="F22" s="132"/>
    </row>
    <row r="23" ht="15.75" customHeight="1">
      <c r="F23" s="132"/>
    </row>
    <row r="24" ht="15.75" customHeight="1">
      <c r="F24" s="132"/>
    </row>
    <row r="25" ht="15.75" customHeight="1">
      <c r="F25" s="132"/>
    </row>
    <row r="26" ht="15.75" customHeight="1">
      <c r="F26" s="132"/>
    </row>
    <row r="27" ht="15.75" customHeight="1">
      <c r="F27" s="132"/>
    </row>
    <row r="28" ht="15.75" customHeight="1">
      <c r="F28" s="132"/>
    </row>
    <row r="29" ht="15.75" customHeight="1">
      <c r="F29" s="132"/>
    </row>
    <row r="30" ht="15.75" customHeight="1">
      <c r="F30" s="132"/>
    </row>
    <row r="31" ht="15.75" customHeight="1">
      <c r="F31" s="132"/>
    </row>
    <row r="32" ht="15.75" customHeight="1">
      <c r="F32" s="132"/>
    </row>
    <row r="33" ht="15.75" customHeight="1">
      <c r="F33" s="132"/>
    </row>
    <row r="34" ht="15.75" customHeight="1">
      <c r="F34" s="132"/>
    </row>
    <row r="35" ht="15.75" customHeight="1">
      <c r="F35" s="132"/>
    </row>
    <row r="36" ht="15.75" customHeight="1">
      <c r="F36" s="132"/>
    </row>
    <row r="37" ht="15.75" customHeight="1">
      <c r="F37" s="132"/>
    </row>
    <row r="38" ht="15.75" customHeight="1">
      <c r="F38" s="132"/>
    </row>
    <row r="39" ht="15.75" customHeight="1">
      <c r="F39" s="132"/>
    </row>
    <row r="40" ht="15.75" customHeight="1">
      <c r="F40" s="132"/>
    </row>
    <row r="41" ht="15.75" customHeight="1">
      <c r="F41" s="132"/>
    </row>
    <row r="42" ht="15.75" customHeight="1">
      <c r="F42" s="132"/>
    </row>
    <row r="43" ht="15.75" customHeight="1">
      <c r="F43" s="132"/>
    </row>
    <row r="44" ht="15.75" customHeight="1">
      <c r="F44" s="132"/>
    </row>
    <row r="45" ht="15.75" customHeight="1">
      <c r="F45" s="132"/>
    </row>
    <row r="46" ht="15.75" customHeight="1">
      <c r="F46" s="132"/>
    </row>
    <row r="47" ht="15.75" customHeight="1">
      <c r="F47" s="132"/>
    </row>
    <row r="48" ht="15.75" customHeight="1">
      <c r="F48" s="132"/>
    </row>
    <row r="49" ht="15.75" customHeight="1">
      <c r="F49" s="132"/>
    </row>
    <row r="50" ht="15.75" customHeight="1">
      <c r="F50" s="132"/>
    </row>
    <row r="51" ht="15.75" customHeight="1">
      <c r="F51" s="132"/>
    </row>
    <row r="52" ht="15.75" customHeight="1">
      <c r="F52" s="132"/>
    </row>
    <row r="53" ht="15.75" customHeight="1">
      <c r="F53" s="132"/>
    </row>
    <row r="54" ht="15.75" customHeight="1">
      <c r="F54" s="132"/>
    </row>
    <row r="55" ht="15.75" customHeight="1">
      <c r="F55" s="132"/>
    </row>
    <row r="56" ht="15.75" customHeight="1">
      <c r="F56" s="132"/>
    </row>
    <row r="57" ht="15.75" customHeight="1">
      <c r="F57" s="132"/>
    </row>
    <row r="58" ht="15.75" customHeight="1">
      <c r="F58" s="132"/>
    </row>
    <row r="59" ht="15.75" customHeight="1">
      <c r="F59" s="132"/>
    </row>
    <row r="60" ht="15.75" customHeight="1">
      <c r="F60" s="132"/>
    </row>
    <row r="61" ht="15.75" customHeight="1">
      <c r="F61" s="132"/>
    </row>
    <row r="62" ht="15.75" customHeight="1">
      <c r="F62" s="132"/>
    </row>
    <row r="63" ht="15.75" customHeight="1">
      <c r="F63" s="132"/>
    </row>
    <row r="64" ht="15.75" customHeight="1">
      <c r="F64" s="132"/>
    </row>
    <row r="65" ht="15.75" customHeight="1">
      <c r="F65" s="132"/>
    </row>
    <row r="66" ht="15.75" customHeight="1">
      <c r="F66" s="132"/>
    </row>
    <row r="67" ht="15.75" customHeight="1">
      <c r="F67" s="132"/>
    </row>
    <row r="68" ht="15.75" customHeight="1">
      <c r="F68" s="132"/>
    </row>
    <row r="69" ht="15.75" customHeight="1">
      <c r="F69" s="132"/>
    </row>
    <row r="70" ht="15.75" customHeight="1">
      <c r="F70" s="132"/>
    </row>
    <row r="71" ht="15.75" customHeight="1">
      <c r="F71" s="132"/>
    </row>
    <row r="72" ht="15.75" customHeight="1">
      <c r="F72" s="132"/>
    </row>
    <row r="73" ht="15.75" customHeight="1">
      <c r="F73" s="132"/>
    </row>
    <row r="74" ht="15.75" customHeight="1">
      <c r="F74" s="132"/>
    </row>
    <row r="75" ht="15.75" customHeight="1">
      <c r="F75" s="132"/>
    </row>
    <row r="76" ht="15.75" customHeight="1">
      <c r="F76" s="132"/>
    </row>
    <row r="77" ht="15.75" customHeight="1">
      <c r="F77" s="132"/>
    </row>
    <row r="78" ht="15.75" customHeight="1">
      <c r="F78" s="132"/>
    </row>
    <row r="79" ht="15.75" customHeight="1">
      <c r="F79" s="132"/>
    </row>
    <row r="80" ht="15.75" customHeight="1">
      <c r="F80" s="132"/>
    </row>
    <row r="81" ht="15.75" customHeight="1">
      <c r="F81" s="132"/>
    </row>
    <row r="82" ht="15.75" customHeight="1">
      <c r="F82" s="132"/>
    </row>
    <row r="83" ht="15.75" customHeight="1">
      <c r="F83" s="132"/>
    </row>
    <row r="84" ht="15.75" customHeight="1">
      <c r="F84" s="132"/>
    </row>
    <row r="85" ht="15.75" customHeight="1">
      <c r="F85" s="132"/>
    </row>
    <row r="86" ht="15.75" customHeight="1">
      <c r="F86" s="132"/>
    </row>
    <row r="87" ht="15.75" customHeight="1">
      <c r="F87" s="132"/>
    </row>
    <row r="88" ht="15.75" customHeight="1">
      <c r="F88" s="132"/>
    </row>
    <row r="89" ht="15.75" customHeight="1">
      <c r="F89" s="132"/>
    </row>
    <row r="90" ht="15.75" customHeight="1">
      <c r="F90" s="132"/>
    </row>
    <row r="91" ht="15.75" customHeight="1">
      <c r="F91" s="132"/>
    </row>
    <row r="92" ht="15.75" customHeight="1">
      <c r="F92" s="132"/>
    </row>
    <row r="93" ht="15.75" customHeight="1">
      <c r="F93" s="132"/>
    </row>
    <row r="94" ht="15.75" customHeight="1">
      <c r="F94" s="132"/>
    </row>
    <row r="95" ht="15.75" customHeight="1">
      <c r="F95" s="132"/>
    </row>
    <row r="96" ht="15.75" customHeight="1">
      <c r="F96" s="132"/>
    </row>
    <row r="97" ht="15.75" customHeight="1">
      <c r="F97" s="132"/>
    </row>
    <row r="98" ht="15.75" customHeight="1">
      <c r="F98" s="132"/>
    </row>
    <row r="99" ht="15.75" customHeight="1">
      <c r="F99" s="132"/>
    </row>
    <row r="100" ht="15.75" customHeight="1">
      <c r="F100" s="132"/>
    </row>
    <row r="101" ht="15.75" customHeight="1">
      <c r="F101" s="132"/>
    </row>
    <row r="102" ht="15.75" customHeight="1">
      <c r="F102" s="132"/>
    </row>
    <row r="103" ht="15.75" customHeight="1">
      <c r="F103" s="132"/>
    </row>
    <row r="104" ht="15.75" customHeight="1">
      <c r="F104" s="132"/>
    </row>
    <row r="105" ht="15.75" customHeight="1">
      <c r="F105" s="132"/>
    </row>
    <row r="106" ht="15.75" customHeight="1">
      <c r="F106" s="132"/>
    </row>
    <row r="107" ht="15.75" customHeight="1">
      <c r="F107" s="132"/>
    </row>
    <row r="108" ht="15.75" customHeight="1">
      <c r="F108" s="132"/>
    </row>
    <row r="109" ht="15.75" customHeight="1">
      <c r="F109" s="132"/>
    </row>
    <row r="110" ht="15.75" customHeight="1">
      <c r="F110" s="132"/>
    </row>
    <row r="111" ht="15.75" customHeight="1">
      <c r="F111" s="132"/>
    </row>
    <row r="112" ht="15.75" customHeight="1">
      <c r="F112" s="132"/>
    </row>
    <row r="113" ht="15.75" customHeight="1">
      <c r="F113" s="132"/>
    </row>
    <row r="114" ht="15.75" customHeight="1">
      <c r="F114" s="132"/>
    </row>
    <row r="115" ht="15.75" customHeight="1">
      <c r="F115" s="132"/>
    </row>
    <row r="116" ht="15.75" customHeight="1">
      <c r="F116" s="132"/>
    </row>
    <row r="117" ht="15.75" customHeight="1">
      <c r="F117" s="132"/>
    </row>
    <row r="118" ht="15.75" customHeight="1">
      <c r="F118" s="132"/>
    </row>
    <row r="119" ht="15.75" customHeight="1">
      <c r="F119" s="132"/>
    </row>
    <row r="120" ht="15.75" customHeight="1">
      <c r="F120" s="132"/>
    </row>
    <row r="121" ht="15.75" customHeight="1">
      <c r="F121" s="132"/>
    </row>
    <row r="122" ht="15.75" customHeight="1">
      <c r="F122" s="132"/>
    </row>
    <row r="123" ht="15.75" customHeight="1">
      <c r="F123" s="132"/>
    </row>
    <row r="124" ht="15.75" customHeight="1">
      <c r="F124" s="132"/>
    </row>
    <row r="125" ht="15.75" customHeight="1">
      <c r="F125" s="132"/>
    </row>
    <row r="126" ht="15.75" customHeight="1">
      <c r="F126" s="132"/>
    </row>
    <row r="127" ht="15.75" customHeight="1">
      <c r="F127" s="132"/>
    </row>
    <row r="128" ht="15.75" customHeight="1">
      <c r="F128" s="132"/>
    </row>
    <row r="129" ht="15.75" customHeight="1">
      <c r="F129" s="132"/>
    </row>
    <row r="130" ht="15.75" customHeight="1">
      <c r="F130" s="132"/>
    </row>
    <row r="131" ht="15.75" customHeight="1">
      <c r="F131" s="132"/>
    </row>
    <row r="132" ht="15.75" customHeight="1">
      <c r="F132" s="132"/>
    </row>
    <row r="133" ht="15.75" customHeight="1">
      <c r="F133" s="132"/>
    </row>
    <row r="134" ht="15.75" customHeight="1">
      <c r="F134" s="132"/>
    </row>
    <row r="135" ht="15.75" customHeight="1">
      <c r="F135" s="132"/>
    </row>
    <row r="136" ht="15.75" customHeight="1">
      <c r="F136" s="132"/>
    </row>
    <row r="137" ht="15.75" customHeight="1">
      <c r="F137" s="132"/>
    </row>
    <row r="138" ht="15.75" customHeight="1">
      <c r="F138" s="132"/>
    </row>
    <row r="139" ht="15.75" customHeight="1">
      <c r="F139" s="132"/>
    </row>
    <row r="140" ht="15.75" customHeight="1">
      <c r="F140" s="132"/>
    </row>
    <row r="141" ht="15.75" customHeight="1">
      <c r="F141" s="132"/>
    </row>
    <row r="142" ht="15.75" customHeight="1">
      <c r="F142" s="132"/>
    </row>
    <row r="143" ht="15.75" customHeight="1">
      <c r="F143" s="132"/>
    </row>
    <row r="144" ht="15.75" customHeight="1">
      <c r="F144" s="132"/>
    </row>
    <row r="145" ht="15.75" customHeight="1">
      <c r="F145" s="132"/>
    </row>
    <row r="146" ht="15.75" customHeight="1">
      <c r="F146" s="132"/>
    </row>
    <row r="147" ht="15.75" customHeight="1">
      <c r="F147" s="132"/>
    </row>
    <row r="148" ht="15.75" customHeight="1">
      <c r="F148" s="132"/>
    </row>
    <row r="149" ht="15.75" customHeight="1">
      <c r="F149" s="132"/>
    </row>
    <row r="150" ht="15.75" customHeight="1">
      <c r="F150" s="132"/>
    </row>
    <row r="151" ht="15.75" customHeight="1">
      <c r="F151" s="132"/>
    </row>
    <row r="152" ht="15.75" customHeight="1">
      <c r="F152" s="132"/>
    </row>
    <row r="153" ht="15.75" customHeight="1">
      <c r="F153" s="132"/>
    </row>
    <row r="154" ht="15.75" customHeight="1">
      <c r="F154" s="132"/>
    </row>
    <row r="155" ht="15.75" customHeight="1">
      <c r="F155" s="132"/>
    </row>
    <row r="156" ht="15.75" customHeight="1">
      <c r="F156" s="132"/>
    </row>
    <row r="157" ht="15.75" customHeight="1">
      <c r="F157" s="132"/>
    </row>
    <row r="158" ht="15.75" customHeight="1">
      <c r="F158" s="132"/>
    </row>
    <row r="159" ht="15.75" customHeight="1">
      <c r="F159" s="132"/>
    </row>
    <row r="160" ht="15.75" customHeight="1">
      <c r="F160" s="132"/>
    </row>
    <row r="161" ht="15.75" customHeight="1">
      <c r="F161" s="132"/>
    </row>
    <row r="162" ht="15.75" customHeight="1">
      <c r="F162" s="132"/>
    </row>
    <row r="163" ht="15.75" customHeight="1">
      <c r="F163" s="132"/>
    </row>
    <row r="164" ht="15.75" customHeight="1">
      <c r="F164" s="132"/>
    </row>
    <row r="165" ht="15.75" customHeight="1">
      <c r="F165" s="132"/>
    </row>
    <row r="166" ht="15.75" customHeight="1">
      <c r="F166" s="132"/>
    </row>
    <row r="167" ht="15.75" customHeight="1">
      <c r="F167" s="132"/>
    </row>
    <row r="168" ht="15.75" customHeight="1">
      <c r="F168" s="132"/>
    </row>
    <row r="169" ht="15.75" customHeight="1">
      <c r="F169" s="132"/>
    </row>
    <row r="170" ht="15.75" customHeight="1">
      <c r="F170" s="132"/>
    </row>
    <row r="171" ht="15.75" customHeight="1">
      <c r="F171" s="132"/>
    </row>
    <row r="172" ht="15.75" customHeight="1">
      <c r="F172" s="132"/>
    </row>
    <row r="173" ht="15.75" customHeight="1">
      <c r="F173" s="132"/>
    </row>
    <row r="174" ht="15.75" customHeight="1">
      <c r="F174" s="132"/>
    </row>
    <row r="175" ht="15.75" customHeight="1">
      <c r="F175" s="132"/>
    </row>
    <row r="176" ht="15.75" customHeight="1">
      <c r="F176" s="132"/>
    </row>
    <row r="177" ht="15.75" customHeight="1">
      <c r="F177" s="132"/>
    </row>
    <row r="178" ht="15.75" customHeight="1">
      <c r="F178" s="132"/>
    </row>
    <row r="179" ht="15.75" customHeight="1">
      <c r="F179" s="132"/>
    </row>
    <row r="180" ht="15.75" customHeight="1">
      <c r="F180" s="132"/>
    </row>
    <row r="181" ht="15.75" customHeight="1">
      <c r="F181" s="132"/>
    </row>
    <row r="182" ht="15.75" customHeight="1">
      <c r="F182" s="132"/>
    </row>
    <row r="183" ht="15.75" customHeight="1">
      <c r="F183" s="132"/>
    </row>
    <row r="184" ht="15.75" customHeight="1">
      <c r="F184" s="132"/>
    </row>
    <row r="185" ht="15.75" customHeight="1">
      <c r="F185" s="132"/>
    </row>
    <row r="186" ht="15.75" customHeight="1">
      <c r="F186" s="132"/>
    </row>
    <row r="187" ht="15.75" customHeight="1">
      <c r="F187" s="132"/>
    </row>
    <row r="188" ht="15.75" customHeight="1">
      <c r="F188" s="132"/>
    </row>
    <row r="189" ht="15.75" customHeight="1">
      <c r="F189" s="132"/>
    </row>
    <row r="190" ht="15.75" customHeight="1">
      <c r="F190" s="132"/>
    </row>
    <row r="191" ht="15.75" customHeight="1">
      <c r="F191" s="132"/>
    </row>
    <row r="192" ht="15.75" customHeight="1">
      <c r="F192" s="132"/>
    </row>
    <row r="193" ht="15.75" customHeight="1">
      <c r="F193" s="132"/>
    </row>
    <row r="194" ht="15.75" customHeight="1">
      <c r="F194" s="132"/>
    </row>
    <row r="195" ht="15.75" customHeight="1">
      <c r="F195" s="132"/>
    </row>
    <row r="196" ht="15.75" customHeight="1">
      <c r="F196" s="132"/>
    </row>
    <row r="197" ht="15.75" customHeight="1">
      <c r="F197" s="132"/>
    </row>
    <row r="198" ht="15.75" customHeight="1">
      <c r="F198" s="132"/>
    </row>
    <row r="199" ht="15.75" customHeight="1">
      <c r="F199" s="132"/>
    </row>
    <row r="200" ht="15.75" customHeight="1">
      <c r="F200" s="132"/>
    </row>
    <row r="201" ht="15.75" customHeight="1">
      <c r="F201" s="132"/>
    </row>
    <row r="202" ht="15.75" customHeight="1">
      <c r="F202" s="132"/>
    </row>
    <row r="203" ht="15.75" customHeight="1">
      <c r="F203" s="132"/>
    </row>
    <row r="204" ht="15.75" customHeight="1">
      <c r="F204" s="132"/>
    </row>
    <row r="205" ht="15.75" customHeight="1">
      <c r="F205" s="132"/>
    </row>
    <row r="206" ht="15.75" customHeight="1">
      <c r="F206" s="132"/>
    </row>
    <row r="207" ht="15.75" customHeight="1">
      <c r="F207" s="132"/>
    </row>
    <row r="208" ht="15.75" customHeight="1">
      <c r="F208" s="132"/>
    </row>
    <row r="209" ht="15.75" customHeight="1">
      <c r="F209" s="132"/>
    </row>
    <row r="210" ht="15.75" customHeight="1">
      <c r="F210" s="132"/>
    </row>
    <row r="211" ht="15.75" customHeight="1">
      <c r="F211" s="132"/>
    </row>
    <row r="212" ht="15.75" customHeight="1">
      <c r="F212" s="132"/>
    </row>
    <row r="213" ht="15.75" customHeight="1">
      <c r="F213" s="132"/>
    </row>
    <row r="214" ht="15.75" customHeight="1">
      <c r="F214" s="132"/>
    </row>
    <row r="215" ht="15.75" customHeight="1">
      <c r="F215" s="132"/>
    </row>
    <row r="216" ht="15.75" customHeight="1">
      <c r="F216" s="132"/>
    </row>
    <row r="217" ht="15.75" customHeight="1">
      <c r="F217" s="132"/>
    </row>
    <row r="218" ht="15.75" customHeight="1">
      <c r="F218" s="132"/>
    </row>
    <row r="219" ht="15.75" customHeight="1">
      <c r="F219" s="132"/>
    </row>
    <row r="220" ht="15.75" customHeight="1">
      <c r="F220" s="1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5:F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4.25"/>
    <col customWidth="1" min="3" max="3" width="14.38"/>
    <col customWidth="1" min="4" max="4" width="13.25"/>
    <col customWidth="1" min="5" max="5" width="11.75"/>
    <col customWidth="1" min="6" max="6" width="27.5"/>
    <col customWidth="1" min="7" max="7" width="26.88"/>
  </cols>
  <sheetData>
    <row r="1" ht="15.75" customHeight="1">
      <c r="A1" s="133" t="s">
        <v>195</v>
      </c>
      <c r="B1" s="133" t="s">
        <v>197</v>
      </c>
      <c r="C1" s="133" t="s">
        <v>198</v>
      </c>
      <c r="D1" s="133" t="s">
        <v>194</v>
      </c>
      <c r="E1" s="138" t="s">
        <v>208</v>
      </c>
      <c r="F1" s="133" t="s">
        <v>199</v>
      </c>
      <c r="G1" s="144" t="s">
        <v>209</v>
      </c>
    </row>
    <row r="2" ht="15.75" customHeight="1">
      <c r="A2" s="133" t="s">
        <v>202</v>
      </c>
      <c r="B2" s="133" t="s">
        <v>203</v>
      </c>
      <c r="C2" s="133">
        <f>VLOOKUP(A2,'Custo Catálogo Serviço'!A:G,4,FALSE)</f>
        <v>100</v>
      </c>
      <c r="D2" s="145" t="str">
        <f>IFERROR(IFS(B2="ALTA",'RESUMO + FATOR AJUSTE'!$G$3,B2="MÉDIA",'RESUMO + FATOR AJUSTE'!$G$4),"")</f>
        <v/>
      </c>
      <c r="E2" s="138">
        <f t="shared" ref="E2:E4" si="1">C2*D2</f>
        <v>0</v>
      </c>
      <c r="F2" s="133">
        <f>VLOOKUP(A2,'Custo Catálogo Serviço'!A:G,5,FALSE)</f>
        <v>12</v>
      </c>
      <c r="G2" s="146">
        <f t="shared" ref="G2:G4" si="2">E2*F2</f>
        <v>0</v>
      </c>
    </row>
    <row r="3" ht="15.75" customHeight="1">
      <c r="A3" s="133" t="s">
        <v>204</v>
      </c>
      <c r="B3" s="133" t="s">
        <v>205</v>
      </c>
      <c r="C3" s="133">
        <f>VLOOKUP(A3,'Custo Catálogo Serviço'!A:G,4,FALSE)</f>
        <v>200</v>
      </c>
      <c r="D3" s="145" t="str">
        <f>IFERROR(IFS(B3="ALTA",'RESUMO + FATOR AJUSTE'!$G$3,B3="MÉDIA",'RESUMO + FATOR AJUSTE'!$G$4),"")</f>
        <v/>
      </c>
      <c r="E3" s="138">
        <f t="shared" si="1"/>
        <v>0</v>
      </c>
      <c r="F3" s="133">
        <f>VLOOKUP(A3,'Custo Catálogo Serviço'!A:G,5,FALSE)</f>
        <v>12</v>
      </c>
      <c r="G3" s="146">
        <f t="shared" si="2"/>
        <v>0</v>
      </c>
    </row>
    <row r="4" ht="15.75" customHeight="1">
      <c r="A4" s="133" t="s">
        <v>206</v>
      </c>
      <c r="B4" s="133"/>
      <c r="C4" s="133" t="str">
        <f>VLOOKUP(A4,'Custo Catálogo Serviço'!A:G,4,FALSE)</f>
        <v/>
      </c>
      <c r="D4" s="145" t="str">
        <f>IFERROR(IFS(B4="ALTA",'RESUMO + FATOR AJUSTE'!$G$3,B4="MÉDIA",'RESUMO + FATOR AJUSTE'!$G$4),"")</f>
        <v/>
      </c>
      <c r="E4" s="138">
        <f t="shared" si="1"/>
        <v>0</v>
      </c>
      <c r="F4" s="133" t="str">
        <f>VLOOKUP(A4,'Custo Catálogo Serviço'!A:G,5,FALSE)</f>
        <v/>
      </c>
      <c r="G4" s="146">
        <f t="shared" si="2"/>
        <v>0</v>
      </c>
    </row>
    <row r="5" ht="15.75" customHeight="1">
      <c r="E5" s="147"/>
      <c r="G5" s="146">
        <f>SUM(G2:G4)</f>
        <v>0</v>
      </c>
    </row>
    <row r="6" ht="15.75" customHeight="1">
      <c r="E6" s="147"/>
      <c r="G6" s="147"/>
    </row>
    <row r="7" ht="15.75" customHeight="1">
      <c r="E7" s="147"/>
      <c r="G7" s="147"/>
    </row>
    <row r="8" ht="15.75" customHeight="1">
      <c r="E8" s="147"/>
      <c r="G8" s="147"/>
    </row>
    <row r="9" ht="15.75" customHeight="1">
      <c r="E9" s="147"/>
      <c r="G9" s="147"/>
    </row>
    <row r="10" ht="15.75" customHeight="1">
      <c r="E10" s="147"/>
      <c r="G10" s="147"/>
    </row>
    <row r="11" ht="15.75" customHeight="1">
      <c r="E11" s="147"/>
      <c r="G11" s="147"/>
    </row>
    <row r="12" ht="15.75" customHeight="1">
      <c r="E12" s="147"/>
      <c r="G12" s="147"/>
    </row>
    <row r="13" ht="15.75" customHeight="1">
      <c r="E13" s="147"/>
      <c r="G13" s="147"/>
    </row>
    <row r="14" ht="15.75" customHeight="1">
      <c r="E14" s="147"/>
      <c r="G14" s="147"/>
    </row>
    <row r="15" ht="15.75" customHeight="1">
      <c r="E15" s="147"/>
      <c r="G15" s="147"/>
    </row>
    <row r="16" ht="15.75" customHeight="1">
      <c r="E16" s="147"/>
      <c r="G16" s="147"/>
    </row>
    <row r="17" ht="15.75" customHeight="1">
      <c r="E17" s="147"/>
      <c r="G17" s="147"/>
    </row>
    <row r="18" ht="15.75" customHeight="1">
      <c r="E18" s="147"/>
      <c r="G18" s="147"/>
    </row>
    <row r="19" ht="15.75" customHeight="1">
      <c r="E19" s="147"/>
      <c r="G19" s="147"/>
    </row>
    <row r="20" ht="15.75" customHeight="1">
      <c r="E20" s="147"/>
      <c r="G20" s="147"/>
    </row>
    <row r="21" ht="15.75" customHeight="1">
      <c r="E21" s="147"/>
      <c r="G21" s="147"/>
    </row>
    <row r="22" ht="15.75" customHeight="1">
      <c r="E22" s="147"/>
      <c r="G22" s="147"/>
    </row>
    <row r="23" ht="15.75" customHeight="1">
      <c r="E23" s="147"/>
      <c r="G23" s="147"/>
    </row>
    <row r="24" ht="15.75" customHeight="1">
      <c r="E24" s="147"/>
      <c r="G24" s="147"/>
    </row>
    <row r="25" ht="15.75" customHeight="1">
      <c r="E25" s="147"/>
      <c r="G25" s="147"/>
    </row>
    <row r="26" ht="15.75" customHeight="1">
      <c r="E26" s="147"/>
      <c r="G26" s="147"/>
    </row>
    <row r="27" ht="15.75" customHeight="1">
      <c r="E27" s="147"/>
      <c r="G27" s="147"/>
    </row>
    <row r="28" ht="15.75" customHeight="1">
      <c r="E28" s="147"/>
      <c r="G28" s="147"/>
    </row>
    <row r="29" ht="15.75" customHeight="1">
      <c r="E29" s="147"/>
      <c r="G29" s="147"/>
    </row>
    <row r="30" ht="15.75" customHeight="1">
      <c r="E30" s="147"/>
      <c r="G30" s="147"/>
    </row>
    <row r="31" ht="15.75" customHeight="1">
      <c r="E31" s="147"/>
      <c r="G31" s="147"/>
    </row>
    <row r="32" ht="15.75" customHeight="1">
      <c r="E32" s="147"/>
      <c r="G32" s="147"/>
    </row>
    <row r="33" ht="15.75" customHeight="1">
      <c r="E33" s="147"/>
      <c r="G33" s="147"/>
    </row>
    <row r="34" ht="15.75" customHeight="1">
      <c r="E34" s="147"/>
      <c r="G34" s="147"/>
    </row>
    <row r="35" ht="15.75" customHeight="1">
      <c r="E35" s="147"/>
      <c r="G35" s="147"/>
    </row>
    <row r="36" ht="15.75" customHeight="1">
      <c r="E36" s="147"/>
      <c r="G36" s="147"/>
    </row>
    <row r="37" ht="15.75" customHeight="1">
      <c r="E37" s="147"/>
      <c r="G37" s="147"/>
    </row>
    <row r="38" ht="15.75" customHeight="1">
      <c r="E38" s="147"/>
      <c r="G38" s="147"/>
    </row>
    <row r="39" ht="15.75" customHeight="1">
      <c r="E39" s="147"/>
      <c r="G39" s="147"/>
    </row>
    <row r="40" ht="15.75" customHeight="1">
      <c r="E40" s="147"/>
      <c r="G40" s="147"/>
    </row>
    <row r="41" ht="15.75" customHeight="1">
      <c r="E41" s="147"/>
      <c r="G41" s="147"/>
    </row>
    <row r="42" ht="15.75" customHeight="1">
      <c r="E42" s="147"/>
      <c r="G42" s="147"/>
    </row>
    <row r="43" ht="15.75" customHeight="1">
      <c r="E43" s="147"/>
      <c r="G43" s="147"/>
    </row>
    <row r="44" ht="15.75" customHeight="1">
      <c r="E44" s="147"/>
      <c r="G44" s="147"/>
    </row>
    <row r="45" ht="15.75" customHeight="1">
      <c r="E45" s="147"/>
      <c r="G45" s="147"/>
    </row>
    <row r="46" ht="15.75" customHeight="1">
      <c r="E46" s="147"/>
      <c r="G46" s="147"/>
    </row>
    <row r="47" ht="15.75" customHeight="1">
      <c r="E47" s="147"/>
      <c r="G47" s="147"/>
    </row>
    <row r="48" ht="15.75" customHeight="1">
      <c r="E48" s="147"/>
      <c r="G48" s="147"/>
    </row>
    <row r="49" ht="15.75" customHeight="1">
      <c r="E49" s="147"/>
      <c r="G49" s="147"/>
    </row>
    <row r="50" ht="15.75" customHeight="1">
      <c r="E50" s="147"/>
      <c r="G50" s="147"/>
    </row>
    <row r="51" ht="15.75" customHeight="1">
      <c r="E51" s="147"/>
      <c r="G51" s="147"/>
    </row>
    <row r="52" ht="15.75" customHeight="1">
      <c r="E52" s="147"/>
      <c r="G52" s="147"/>
    </row>
    <row r="53" ht="15.75" customHeight="1">
      <c r="E53" s="147"/>
      <c r="G53" s="147"/>
    </row>
    <row r="54" ht="15.75" customHeight="1">
      <c r="E54" s="147"/>
      <c r="G54" s="147"/>
    </row>
    <row r="55" ht="15.75" customHeight="1">
      <c r="E55" s="147"/>
      <c r="G55" s="147"/>
    </row>
    <row r="56" ht="15.75" customHeight="1">
      <c r="E56" s="147"/>
      <c r="G56" s="147"/>
    </row>
    <row r="57" ht="15.75" customHeight="1">
      <c r="E57" s="147"/>
      <c r="G57" s="147"/>
    </row>
    <row r="58" ht="15.75" customHeight="1">
      <c r="E58" s="147"/>
      <c r="G58" s="147"/>
    </row>
    <row r="59" ht="15.75" customHeight="1">
      <c r="E59" s="147"/>
      <c r="G59" s="147"/>
    </row>
    <row r="60" ht="15.75" customHeight="1">
      <c r="E60" s="147"/>
      <c r="G60" s="147"/>
    </row>
    <row r="61" ht="15.75" customHeight="1">
      <c r="E61" s="147"/>
      <c r="G61" s="147"/>
    </row>
    <row r="62" ht="15.75" customHeight="1">
      <c r="E62" s="147"/>
      <c r="G62" s="147"/>
    </row>
    <row r="63" ht="15.75" customHeight="1">
      <c r="E63" s="147"/>
      <c r="G63" s="147"/>
    </row>
    <row r="64" ht="15.75" customHeight="1">
      <c r="E64" s="147"/>
      <c r="G64" s="147"/>
    </row>
    <row r="65" ht="15.75" customHeight="1">
      <c r="E65" s="147"/>
      <c r="G65" s="147"/>
    </row>
    <row r="66" ht="15.75" customHeight="1">
      <c r="E66" s="147"/>
      <c r="G66" s="147"/>
    </row>
    <row r="67" ht="15.75" customHeight="1">
      <c r="E67" s="147"/>
      <c r="G67" s="147"/>
    </row>
    <row r="68" ht="15.75" customHeight="1">
      <c r="E68" s="147"/>
      <c r="G68" s="147"/>
    </row>
    <row r="69" ht="15.75" customHeight="1">
      <c r="E69" s="147"/>
      <c r="G69" s="147"/>
    </row>
    <row r="70" ht="15.75" customHeight="1">
      <c r="E70" s="147"/>
      <c r="G70" s="147"/>
    </row>
    <row r="71" ht="15.75" customHeight="1">
      <c r="E71" s="147"/>
      <c r="G71" s="147"/>
    </row>
    <row r="72" ht="15.75" customHeight="1">
      <c r="E72" s="147"/>
      <c r="G72" s="147"/>
    </row>
    <row r="73" ht="15.75" customHeight="1">
      <c r="E73" s="147"/>
      <c r="G73" s="147"/>
    </row>
    <row r="74" ht="15.75" customHeight="1">
      <c r="E74" s="147"/>
      <c r="G74" s="147"/>
    </row>
    <row r="75" ht="15.75" customHeight="1">
      <c r="E75" s="147"/>
      <c r="G75" s="147"/>
    </row>
    <row r="76" ht="15.75" customHeight="1">
      <c r="E76" s="147"/>
      <c r="G76" s="147"/>
    </row>
    <row r="77" ht="15.75" customHeight="1">
      <c r="E77" s="147"/>
      <c r="G77" s="147"/>
    </row>
    <row r="78" ht="15.75" customHeight="1">
      <c r="E78" s="147"/>
      <c r="G78" s="147"/>
    </row>
    <row r="79" ht="15.75" customHeight="1">
      <c r="E79" s="147"/>
      <c r="G79" s="147"/>
    </row>
    <row r="80" ht="15.75" customHeight="1">
      <c r="E80" s="147"/>
      <c r="G80" s="147"/>
    </row>
    <row r="81" ht="15.75" customHeight="1">
      <c r="E81" s="147"/>
      <c r="G81" s="147"/>
    </row>
    <row r="82" ht="15.75" customHeight="1">
      <c r="E82" s="147"/>
      <c r="G82" s="147"/>
    </row>
    <row r="83" ht="15.75" customHeight="1">
      <c r="E83" s="147"/>
      <c r="G83" s="147"/>
    </row>
    <row r="84" ht="15.75" customHeight="1">
      <c r="E84" s="147"/>
      <c r="G84" s="147"/>
    </row>
    <row r="85" ht="15.75" customHeight="1">
      <c r="E85" s="147"/>
      <c r="G85" s="147"/>
    </row>
    <row r="86" ht="15.75" customHeight="1">
      <c r="E86" s="147"/>
      <c r="G86" s="147"/>
    </row>
    <row r="87" ht="15.75" customHeight="1">
      <c r="E87" s="147"/>
      <c r="G87" s="147"/>
    </row>
    <row r="88" ht="15.75" customHeight="1">
      <c r="E88" s="147"/>
      <c r="G88" s="147"/>
    </row>
    <row r="89" ht="15.75" customHeight="1">
      <c r="E89" s="147"/>
      <c r="G89" s="147"/>
    </row>
    <row r="90" ht="15.75" customHeight="1">
      <c r="E90" s="147"/>
      <c r="G90" s="147"/>
    </row>
    <row r="91" ht="15.75" customHeight="1">
      <c r="E91" s="147"/>
      <c r="G91" s="147"/>
    </row>
    <row r="92" ht="15.75" customHeight="1">
      <c r="E92" s="147"/>
      <c r="G92" s="147"/>
    </row>
    <row r="93" ht="15.75" customHeight="1">
      <c r="E93" s="147"/>
      <c r="G93" s="147"/>
    </row>
    <row r="94" ht="15.75" customHeight="1">
      <c r="E94" s="147"/>
      <c r="G94" s="147"/>
    </row>
    <row r="95" ht="15.75" customHeight="1">
      <c r="E95" s="147"/>
      <c r="G95" s="147"/>
    </row>
    <row r="96" ht="15.75" customHeight="1">
      <c r="E96" s="147"/>
      <c r="G96" s="147"/>
    </row>
    <row r="97" ht="15.75" customHeight="1">
      <c r="E97" s="147"/>
      <c r="G97" s="147"/>
    </row>
    <row r="98" ht="15.75" customHeight="1">
      <c r="E98" s="147"/>
      <c r="G98" s="147"/>
    </row>
    <row r="99" ht="15.75" customHeight="1">
      <c r="E99" s="147"/>
      <c r="G99" s="147"/>
    </row>
    <row r="100" ht="15.75" customHeight="1">
      <c r="E100" s="147"/>
      <c r="G100" s="147"/>
    </row>
    <row r="101" ht="15.75" customHeight="1">
      <c r="E101" s="147"/>
      <c r="G101" s="147"/>
    </row>
    <row r="102" ht="15.75" customHeight="1">
      <c r="E102" s="147"/>
      <c r="G102" s="147"/>
    </row>
    <row r="103" ht="15.75" customHeight="1">
      <c r="E103" s="147"/>
      <c r="G103" s="147"/>
    </row>
    <row r="104" ht="15.75" customHeight="1">
      <c r="E104" s="147"/>
      <c r="G104" s="147"/>
    </row>
    <row r="105" ht="15.75" customHeight="1">
      <c r="E105" s="147"/>
      <c r="G105" s="147"/>
    </row>
    <row r="106" ht="15.75" customHeight="1">
      <c r="E106" s="147"/>
      <c r="G106" s="147"/>
    </row>
    <row r="107" ht="15.75" customHeight="1">
      <c r="E107" s="147"/>
      <c r="G107" s="147"/>
    </row>
    <row r="108" ht="15.75" customHeight="1">
      <c r="E108" s="147"/>
      <c r="G108" s="147"/>
    </row>
    <row r="109" ht="15.75" customHeight="1">
      <c r="E109" s="147"/>
      <c r="G109" s="147"/>
    </row>
    <row r="110" ht="15.75" customHeight="1">
      <c r="E110" s="147"/>
      <c r="G110" s="147"/>
    </row>
    <row r="111" ht="15.75" customHeight="1">
      <c r="E111" s="147"/>
      <c r="G111" s="147"/>
    </row>
    <row r="112" ht="15.75" customHeight="1">
      <c r="E112" s="147"/>
      <c r="G112" s="147"/>
    </row>
    <row r="113" ht="15.75" customHeight="1">
      <c r="E113" s="147"/>
      <c r="G113" s="147"/>
    </row>
    <row r="114" ht="15.75" customHeight="1">
      <c r="E114" s="147"/>
      <c r="G114" s="147"/>
    </row>
    <row r="115" ht="15.75" customHeight="1">
      <c r="E115" s="147"/>
      <c r="G115" s="147"/>
    </row>
    <row r="116" ht="15.75" customHeight="1">
      <c r="E116" s="147"/>
      <c r="G116" s="147"/>
    </row>
    <row r="117" ht="15.75" customHeight="1">
      <c r="E117" s="147"/>
      <c r="G117" s="147"/>
    </row>
    <row r="118" ht="15.75" customHeight="1">
      <c r="E118" s="147"/>
      <c r="G118" s="147"/>
    </row>
    <row r="119" ht="15.75" customHeight="1">
      <c r="E119" s="147"/>
      <c r="G119" s="147"/>
    </row>
    <row r="120" ht="15.75" customHeight="1">
      <c r="E120" s="147"/>
      <c r="G120" s="147"/>
    </row>
    <row r="121" ht="15.75" customHeight="1">
      <c r="E121" s="147"/>
      <c r="G121" s="147"/>
    </row>
    <row r="122" ht="15.75" customHeight="1">
      <c r="E122" s="147"/>
      <c r="G122" s="147"/>
    </row>
    <row r="123" ht="15.75" customHeight="1">
      <c r="E123" s="147"/>
      <c r="G123" s="147"/>
    </row>
    <row r="124" ht="15.75" customHeight="1">
      <c r="E124" s="147"/>
      <c r="G124" s="147"/>
    </row>
    <row r="125" ht="15.75" customHeight="1">
      <c r="E125" s="147"/>
      <c r="G125" s="147"/>
    </row>
    <row r="126" ht="15.75" customHeight="1">
      <c r="E126" s="147"/>
      <c r="G126" s="147"/>
    </row>
    <row r="127" ht="15.75" customHeight="1">
      <c r="E127" s="147"/>
      <c r="G127" s="147"/>
    </row>
    <row r="128" ht="15.75" customHeight="1">
      <c r="E128" s="147"/>
      <c r="G128" s="147"/>
    </row>
    <row r="129" ht="15.75" customHeight="1">
      <c r="E129" s="147"/>
      <c r="G129" s="147"/>
    </row>
    <row r="130" ht="15.75" customHeight="1">
      <c r="E130" s="147"/>
      <c r="G130" s="147"/>
    </row>
    <row r="131" ht="15.75" customHeight="1">
      <c r="E131" s="147"/>
      <c r="G131" s="147"/>
    </row>
    <row r="132" ht="15.75" customHeight="1">
      <c r="E132" s="147"/>
      <c r="G132" s="147"/>
    </row>
    <row r="133" ht="15.75" customHeight="1">
      <c r="E133" s="147"/>
      <c r="G133" s="147"/>
    </row>
    <row r="134" ht="15.75" customHeight="1">
      <c r="E134" s="147"/>
      <c r="G134" s="147"/>
    </row>
    <row r="135" ht="15.75" customHeight="1">
      <c r="E135" s="147"/>
      <c r="G135" s="147"/>
    </row>
    <row r="136" ht="15.75" customHeight="1">
      <c r="E136" s="147"/>
      <c r="G136" s="147"/>
    </row>
    <row r="137" ht="15.75" customHeight="1">
      <c r="E137" s="147"/>
      <c r="G137" s="147"/>
    </row>
    <row r="138" ht="15.75" customHeight="1">
      <c r="E138" s="147"/>
      <c r="G138" s="147"/>
    </row>
    <row r="139" ht="15.75" customHeight="1">
      <c r="E139" s="147"/>
      <c r="G139" s="147"/>
    </row>
    <row r="140" ht="15.75" customHeight="1">
      <c r="E140" s="147"/>
      <c r="G140" s="147"/>
    </row>
    <row r="141" ht="15.75" customHeight="1">
      <c r="E141" s="147"/>
      <c r="G141" s="147"/>
    </row>
    <row r="142" ht="15.75" customHeight="1">
      <c r="E142" s="147"/>
      <c r="G142" s="147"/>
    </row>
    <row r="143" ht="15.75" customHeight="1">
      <c r="E143" s="147"/>
      <c r="G143" s="147"/>
    </row>
    <row r="144" ht="15.75" customHeight="1">
      <c r="E144" s="147"/>
      <c r="G144" s="147"/>
    </row>
    <row r="145" ht="15.75" customHeight="1">
      <c r="E145" s="147"/>
      <c r="G145" s="147"/>
    </row>
    <row r="146" ht="15.75" customHeight="1">
      <c r="E146" s="147"/>
      <c r="G146" s="147"/>
    </row>
    <row r="147" ht="15.75" customHeight="1">
      <c r="E147" s="147"/>
      <c r="G147" s="147"/>
    </row>
    <row r="148" ht="15.75" customHeight="1">
      <c r="E148" s="147"/>
      <c r="G148" s="147"/>
    </row>
    <row r="149" ht="15.75" customHeight="1">
      <c r="E149" s="147"/>
      <c r="G149" s="147"/>
    </row>
    <row r="150" ht="15.75" customHeight="1">
      <c r="E150" s="147"/>
      <c r="G150" s="147"/>
    </row>
    <row r="151" ht="15.75" customHeight="1">
      <c r="E151" s="147"/>
      <c r="G151" s="147"/>
    </row>
    <row r="152" ht="15.75" customHeight="1">
      <c r="E152" s="147"/>
      <c r="G152" s="147"/>
    </row>
    <row r="153" ht="15.75" customHeight="1">
      <c r="E153" s="147"/>
      <c r="G153" s="147"/>
    </row>
    <row r="154" ht="15.75" customHeight="1">
      <c r="E154" s="147"/>
      <c r="G154" s="147"/>
    </row>
    <row r="155" ht="15.75" customHeight="1">
      <c r="E155" s="147"/>
      <c r="G155" s="147"/>
    </row>
    <row r="156" ht="15.75" customHeight="1">
      <c r="E156" s="147"/>
      <c r="G156" s="147"/>
    </row>
    <row r="157" ht="15.75" customHeight="1">
      <c r="E157" s="147"/>
      <c r="G157" s="147"/>
    </row>
    <row r="158" ht="15.75" customHeight="1">
      <c r="E158" s="147"/>
      <c r="G158" s="147"/>
    </row>
    <row r="159" ht="15.75" customHeight="1">
      <c r="E159" s="147"/>
      <c r="G159" s="147"/>
    </row>
    <row r="160" ht="15.75" customHeight="1">
      <c r="E160" s="147"/>
      <c r="G160" s="147"/>
    </row>
    <row r="161" ht="15.75" customHeight="1">
      <c r="E161" s="147"/>
      <c r="G161" s="147"/>
    </row>
    <row r="162" ht="15.75" customHeight="1">
      <c r="E162" s="147"/>
      <c r="G162" s="147"/>
    </row>
    <row r="163" ht="15.75" customHeight="1">
      <c r="E163" s="147"/>
      <c r="G163" s="147"/>
    </row>
    <row r="164" ht="15.75" customHeight="1">
      <c r="E164" s="147"/>
      <c r="G164" s="147"/>
    </row>
    <row r="165" ht="15.75" customHeight="1">
      <c r="E165" s="147"/>
      <c r="G165" s="147"/>
    </row>
    <row r="166" ht="15.75" customHeight="1">
      <c r="E166" s="147"/>
      <c r="G166" s="147"/>
    </row>
    <row r="167" ht="15.75" customHeight="1">
      <c r="E167" s="147"/>
      <c r="G167" s="147"/>
    </row>
    <row r="168" ht="15.75" customHeight="1">
      <c r="E168" s="147"/>
      <c r="G168" s="147"/>
    </row>
    <row r="169" ht="15.75" customHeight="1">
      <c r="E169" s="147"/>
      <c r="G169" s="147"/>
    </row>
    <row r="170" ht="15.75" customHeight="1">
      <c r="E170" s="147"/>
      <c r="G170" s="147"/>
    </row>
    <row r="171" ht="15.75" customHeight="1">
      <c r="E171" s="147"/>
      <c r="G171" s="147"/>
    </row>
    <row r="172" ht="15.75" customHeight="1">
      <c r="E172" s="147"/>
      <c r="G172" s="147"/>
    </row>
    <row r="173" ht="15.75" customHeight="1">
      <c r="E173" s="147"/>
      <c r="G173" s="147"/>
    </row>
    <row r="174" ht="15.75" customHeight="1">
      <c r="E174" s="147"/>
      <c r="G174" s="147"/>
    </row>
    <row r="175" ht="15.75" customHeight="1">
      <c r="E175" s="147"/>
      <c r="G175" s="147"/>
    </row>
    <row r="176" ht="15.75" customHeight="1">
      <c r="E176" s="147"/>
      <c r="G176" s="147"/>
    </row>
    <row r="177" ht="15.75" customHeight="1">
      <c r="E177" s="147"/>
      <c r="G177" s="147"/>
    </row>
    <row r="178" ht="15.75" customHeight="1">
      <c r="E178" s="147"/>
      <c r="G178" s="147"/>
    </row>
    <row r="179" ht="15.75" customHeight="1">
      <c r="E179" s="147"/>
      <c r="G179" s="147"/>
    </row>
    <row r="180" ht="15.75" customHeight="1">
      <c r="E180" s="147"/>
      <c r="G180" s="147"/>
    </row>
    <row r="181" ht="15.75" customHeight="1">
      <c r="E181" s="147"/>
      <c r="G181" s="147"/>
    </row>
    <row r="182" ht="15.75" customHeight="1">
      <c r="E182" s="147"/>
      <c r="G182" s="147"/>
    </row>
    <row r="183" ht="15.75" customHeight="1">
      <c r="E183" s="147"/>
      <c r="G183" s="147"/>
    </row>
    <row r="184" ht="15.75" customHeight="1">
      <c r="E184" s="147"/>
      <c r="G184" s="147"/>
    </row>
    <row r="185" ht="15.75" customHeight="1">
      <c r="E185" s="147"/>
      <c r="G185" s="147"/>
    </row>
    <row r="186" ht="15.75" customHeight="1">
      <c r="E186" s="147"/>
      <c r="G186" s="147"/>
    </row>
    <row r="187" ht="15.75" customHeight="1">
      <c r="E187" s="147"/>
      <c r="G187" s="147"/>
    </row>
    <row r="188" ht="15.75" customHeight="1">
      <c r="E188" s="147"/>
      <c r="G188" s="147"/>
    </row>
    <row r="189" ht="15.75" customHeight="1">
      <c r="E189" s="147"/>
      <c r="G189" s="147"/>
    </row>
    <row r="190" ht="15.75" customHeight="1">
      <c r="E190" s="147"/>
      <c r="G190" s="147"/>
    </row>
    <row r="191" ht="15.75" customHeight="1">
      <c r="E191" s="147"/>
      <c r="G191" s="147"/>
    </row>
    <row r="192" ht="15.75" customHeight="1">
      <c r="E192" s="147"/>
      <c r="G192" s="147"/>
    </row>
    <row r="193" ht="15.75" customHeight="1">
      <c r="E193" s="147"/>
      <c r="G193" s="147"/>
    </row>
    <row r="194" ht="15.75" customHeight="1">
      <c r="E194" s="147"/>
      <c r="G194" s="147"/>
    </row>
    <row r="195" ht="15.75" customHeight="1">
      <c r="E195" s="147"/>
      <c r="G195" s="147"/>
    </row>
    <row r="196" ht="15.75" customHeight="1">
      <c r="E196" s="147"/>
      <c r="G196" s="147"/>
    </row>
    <row r="197" ht="15.75" customHeight="1">
      <c r="E197" s="147"/>
      <c r="G197" s="147"/>
    </row>
    <row r="198" ht="15.75" customHeight="1">
      <c r="E198" s="147"/>
      <c r="G198" s="147"/>
    </row>
    <row r="199" ht="15.75" customHeight="1">
      <c r="E199" s="147"/>
      <c r="G199" s="147"/>
    </row>
    <row r="200" ht="15.75" customHeight="1">
      <c r="E200" s="147"/>
      <c r="G200" s="147"/>
    </row>
    <row r="201" ht="15.75" customHeight="1">
      <c r="E201" s="147"/>
      <c r="G201" s="147"/>
    </row>
    <row r="202" ht="15.75" customHeight="1">
      <c r="E202" s="147"/>
      <c r="G202" s="147"/>
    </row>
    <row r="203" ht="15.75" customHeight="1">
      <c r="E203" s="147"/>
      <c r="G203" s="147"/>
    </row>
    <row r="204" ht="15.75" customHeight="1">
      <c r="E204" s="147"/>
      <c r="G204" s="147"/>
    </row>
    <row r="205" ht="15.75" customHeight="1">
      <c r="E205" s="147"/>
      <c r="G205" s="147"/>
    </row>
    <row r="206" ht="15.75" customHeight="1">
      <c r="E206" s="147"/>
      <c r="G206" s="147"/>
    </row>
    <row r="207" ht="15.75" customHeight="1">
      <c r="E207" s="147"/>
      <c r="G207" s="147"/>
    </row>
    <row r="208" ht="15.75" customHeight="1">
      <c r="E208" s="147"/>
      <c r="G208" s="147"/>
    </row>
    <row r="209" ht="15.75" customHeight="1">
      <c r="E209" s="147"/>
      <c r="G209" s="147"/>
    </row>
    <row r="210" ht="15.75" customHeight="1">
      <c r="E210" s="147"/>
      <c r="G210" s="147"/>
    </row>
    <row r="211" ht="15.75" customHeight="1">
      <c r="E211" s="147"/>
      <c r="G211" s="147"/>
    </row>
    <row r="212" ht="15.75" customHeight="1">
      <c r="E212" s="147"/>
      <c r="G212" s="147"/>
    </row>
    <row r="213" ht="15.75" customHeight="1">
      <c r="E213" s="147"/>
      <c r="G213" s="147"/>
    </row>
    <row r="214" ht="15.75" customHeight="1">
      <c r="E214" s="147"/>
      <c r="G214" s="147"/>
    </row>
    <row r="215" ht="15.75" customHeight="1">
      <c r="E215" s="147"/>
      <c r="G215" s="147"/>
    </row>
    <row r="216" ht="15.75" customHeight="1">
      <c r="E216" s="147"/>
      <c r="G216" s="147"/>
    </row>
    <row r="217" ht="15.75" customHeight="1">
      <c r="E217" s="147"/>
      <c r="G217" s="147"/>
    </row>
    <row r="218" ht="15.75" customHeight="1">
      <c r="E218" s="147"/>
      <c r="G218" s="147"/>
    </row>
    <row r="219" ht="15.75" customHeight="1">
      <c r="E219" s="147"/>
      <c r="G219" s="147"/>
    </row>
    <row r="220" ht="15.75" customHeight="1">
      <c r="E220" s="147"/>
      <c r="G220" s="14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1.63"/>
  </cols>
  <sheetData>
    <row r="1" ht="15.75" customHeight="1">
      <c r="A1" s="148" t="s">
        <v>210</v>
      </c>
      <c r="B1" s="132">
        <f>'Custo Catálogo Serviço'!G5</f>
        <v>0</v>
      </c>
    </row>
    <row r="2" ht="15.75" customHeight="1">
      <c r="A2" s="148" t="s">
        <v>211</v>
      </c>
      <c r="B2" s="132">
        <f>'USTs Catalogo'!G5</f>
        <v>0</v>
      </c>
    </row>
    <row r="3" ht="15.75" customHeight="1">
      <c r="A3" s="148" t="s">
        <v>212</v>
      </c>
      <c r="B3" s="132" t="str">
        <f>B1/B2</f>
        <v>#DIV/0!</v>
      </c>
    </row>
    <row r="4" ht="15.75" customHeight="1">
      <c r="A4" s="148" t="s">
        <v>213</v>
      </c>
      <c r="B4" s="132">
        <v>4000.0</v>
      </c>
    </row>
    <row r="5" ht="15.75" customHeight="1">
      <c r="A5" s="148" t="s">
        <v>214</v>
      </c>
      <c r="B5" s="149" t="str">
        <f>B3*4000</f>
        <v>#DIV/0!</v>
      </c>
    </row>
    <row r="6" ht="15.75" customHeight="1">
      <c r="A6" s="148" t="s">
        <v>215</v>
      </c>
      <c r="B6" s="149" t="str">
        <f>'RESUMO + FATOR AJUSTE'!E5</f>
        <v>#REF!</v>
      </c>
    </row>
    <row r="7" ht="15.75" customHeight="1">
      <c r="B7" s="150" t="str">
        <f>B5-B6</f>
        <v>#DIV/0!</v>
      </c>
    </row>
    <row r="8" ht="15.75" customHeight="1">
      <c r="B8" s="132"/>
    </row>
    <row r="9" ht="15.75" customHeight="1">
      <c r="B9" s="132"/>
    </row>
    <row r="10" ht="15.75" customHeight="1">
      <c r="B10" s="132"/>
    </row>
    <row r="11" ht="15.75" customHeight="1">
      <c r="B11" s="132"/>
    </row>
    <row r="12" ht="15.75" customHeight="1">
      <c r="B12" s="132"/>
    </row>
    <row r="13" ht="15.75" customHeight="1">
      <c r="B13" s="132"/>
    </row>
    <row r="14" ht="15.75" customHeight="1">
      <c r="B14" s="132"/>
    </row>
    <row r="15" ht="15.75" customHeight="1">
      <c r="B15" s="132"/>
    </row>
    <row r="16" ht="15.75" customHeight="1">
      <c r="B16" s="132"/>
    </row>
    <row r="17" ht="15.75" customHeight="1">
      <c r="B17" s="132"/>
    </row>
    <row r="18" ht="15.75" customHeight="1">
      <c r="B18" s="132"/>
    </row>
    <row r="19" ht="15.75" customHeight="1">
      <c r="B19" s="132"/>
    </row>
    <row r="20" ht="15.75" customHeight="1">
      <c r="B20" s="132"/>
    </row>
    <row r="21" ht="15.75" customHeight="1">
      <c r="B21" s="132"/>
    </row>
    <row r="22" ht="15.75" customHeight="1">
      <c r="B22" s="132"/>
    </row>
    <row r="23" ht="15.75" customHeight="1">
      <c r="B23" s="132"/>
    </row>
    <row r="24" ht="15.75" customHeight="1">
      <c r="B24" s="132"/>
    </row>
    <row r="25" ht="15.75" customHeight="1">
      <c r="B25" s="132"/>
    </row>
    <row r="26" ht="15.75" customHeight="1">
      <c r="B26" s="132"/>
    </row>
    <row r="27" ht="15.75" customHeight="1">
      <c r="B27" s="132"/>
    </row>
    <row r="28" ht="15.75" customHeight="1">
      <c r="B28" s="132"/>
    </row>
    <row r="29" ht="15.75" customHeight="1">
      <c r="B29" s="132"/>
    </row>
    <row r="30" ht="15.75" customHeight="1">
      <c r="B30" s="132"/>
    </row>
    <row r="31" ht="15.75" customHeight="1">
      <c r="B31" s="132"/>
    </row>
    <row r="32" ht="15.75" customHeight="1">
      <c r="B32" s="132"/>
    </row>
    <row r="33" ht="15.75" customHeight="1">
      <c r="B33" s="132"/>
    </row>
    <row r="34" ht="15.75" customHeight="1">
      <c r="B34" s="132"/>
    </row>
    <row r="35" ht="15.75" customHeight="1">
      <c r="B35" s="132"/>
    </row>
    <row r="36" ht="15.75" customHeight="1">
      <c r="B36" s="132"/>
    </row>
    <row r="37" ht="15.75" customHeight="1">
      <c r="B37" s="132"/>
    </row>
    <row r="38" ht="15.75" customHeight="1">
      <c r="B38" s="132"/>
    </row>
    <row r="39" ht="15.75" customHeight="1">
      <c r="B39" s="132"/>
    </row>
    <row r="40" ht="15.75" customHeight="1">
      <c r="B40" s="132"/>
    </row>
    <row r="41" ht="15.75" customHeight="1">
      <c r="B41" s="132"/>
    </row>
    <row r="42" ht="15.75" customHeight="1">
      <c r="B42" s="132"/>
    </row>
    <row r="43" ht="15.75" customHeight="1">
      <c r="B43" s="132"/>
    </row>
    <row r="44" ht="15.75" customHeight="1">
      <c r="B44" s="132"/>
    </row>
    <row r="45" ht="15.75" customHeight="1">
      <c r="B45" s="132"/>
    </row>
    <row r="46" ht="15.75" customHeight="1">
      <c r="B46" s="132"/>
    </row>
    <row r="47" ht="15.75" customHeight="1">
      <c r="B47" s="132"/>
    </row>
    <row r="48" ht="15.75" customHeight="1">
      <c r="B48" s="132"/>
    </row>
    <row r="49" ht="15.75" customHeight="1">
      <c r="B49" s="132"/>
    </row>
    <row r="50" ht="15.75" customHeight="1">
      <c r="B50" s="132"/>
    </row>
    <row r="51" ht="15.75" customHeight="1">
      <c r="B51" s="132"/>
    </row>
    <row r="52" ht="15.75" customHeight="1">
      <c r="B52" s="132"/>
    </row>
    <row r="53" ht="15.75" customHeight="1">
      <c r="B53" s="132"/>
    </row>
    <row r="54" ht="15.75" customHeight="1">
      <c r="B54" s="132"/>
    </row>
    <row r="55" ht="15.75" customHeight="1">
      <c r="B55" s="132"/>
    </row>
    <row r="56" ht="15.75" customHeight="1">
      <c r="B56" s="132"/>
    </row>
    <row r="57" ht="15.75" customHeight="1">
      <c r="B57" s="132"/>
    </row>
    <row r="58" ht="15.75" customHeight="1">
      <c r="B58" s="132"/>
    </row>
    <row r="59" ht="15.75" customHeight="1">
      <c r="B59" s="132"/>
    </row>
    <row r="60" ht="15.75" customHeight="1">
      <c r="B60" s="132"/>
    </row>
    <row r="61" ht="15.75" customHeight="1">
      <c r="B61" s="132"/>
    </row>
    <row r="62" ht="15.75" customHeight="1">
      <c r="B62" s="132"/>
    </row>
    <row r="63" ht="15.75" customHeight="1">
      <c r="B63" s="132"/>
    </row>
    <row r="64" ht="15.75" customHeight="1">
      <c r="B64" s="132"/>
    </row>
    <row r="65" ht="15.75" customHeight="1">
      <c r="B65" s="132"/>
    </row>
    <row r="66" ht="15.75" customHeight="1">
      <c r="B66" s="132"/>
    </row>
    <row r="67" ht="15.75" customHeight="1">
      <c r="B67" s="132"/>
    </row>
    <row r="68" ht="15.75" customHeight="1">
      <c r="B68" s="132"/>
    </row>
    <row r="69" ht="15.75" customHeight="1">
      <c r="B69" s="132"/>
    </row>
    <row r="70" ht="15.75" customHeight="1">
      <c r="B70" s="132"/>
    </row>
    <row r="71" ht="15.75" customHeight="1">
      <c r="B71" s="132"/>
    </row>
    <row r="72" ht="15.75" customHeight="1">
      <c r="B72" s="132"/>
    </row>
    <row r="73" ht="15.75" customHeight="1">
      <c r="B73" s="132"/>
    </row>
    <row r="74" ht="15.75" customHeight="1">
      <c r="B74" s="132"/>
    </row>
    <row r="75" ht="15.75" customHeight="1">
      <c r="B75" s="132"/>
    </row>
    <row r="76" ht="15.75" customHeight="1">
      <c r="B76" s="132"/>
    </row>
    <row r="77" ht="15.75" customHeight="1">
      <c r="B77" s="132"/>
    </row>
    <row r="78" ht="15.75" customHeight="1">
      <c r="B78" s="132"/>
    </row>
    <row r="79" ht="15.75" customHeight="1">
      <c r="B79" s="132"/>
    </row>
    <row r="80" ht="15.75" customHeight="1">
      <c r="B80" s="132"/>
    </row>
    <row r="81" ht="15.75" customHeight="1">
      <c r="B81" s="132"/>
    </row>
    <row r="82" ht="15.75" customHeight="1">
      <c r="B82" s="132"/>
    </row>
    <row r="83" ht="15.75" customHeight="1">
      <c r="B83" s="132"/>
    </row>
    <row r="84" ht="15.75" customHeight="1">
      <c r="B84" s="132"/>
    </row>
    <row r="85" ht="15.75" customHeight="1">
      <c r="B85" s="132"/>
    </row>
    <row r="86" ht="15.75" customHeight="1">
      <c r="B86" s="132"/>
    </row>
    <row r="87" ht="15.75" customHeight="1">
      <c r="B87" s="132"/>
    </row>
    <row r="88" ht="15.75" customHeight="1">
      <c r="B88" s="132"/>
    </row>
    <row r="89" ht="15.75" customHeight="1">
      <c r="B89" s="132"/>
    </row>
    <row r="90" ht="15.75" customHeight="1">
      <c r="B90" s="132"/>
    </row>
    <row r="91" ht="15.75" customHeight="1">
      <c r="B91" s="132"/>
    </row>
    <row r="92" ht="15.75" customHeight="1">
      <c r="B92" s="132"/>
    </row>
    <row r="93" ht="15.75" customHeight="1">
      <c r="B93" s="132"/>
    </row>
    <row r="94" ht="15.75" customHeight="1">
      <c r="B94" s="132"/>
    </row>
    <row r="95" ht="15.75" customHeight="1">
      <c r="B95" s="132"/>
    </row>
    <row r="96" ht="15.75" customHeight="1">
      <c r="B96" s="132"/>
    </row>
    <row r="97" ht="15.75" customHeight="1">
      <c r="B97" s="132"/>
    </row>
    <row r="98" ht="15.75" customHeight="1">
      <c r="B98" s="132"/>
    </row>
    <row r="99" ht="15.75" customHeight="1">
      <c r="B99" s="132"/>
    </row>
    <row r="100" ht="15.75" customHeight="1">
      <c r="B100" s="132"/>
    </row>
    <row r="101" ht="15.75" customHeight="1">
      <c r="B101" s="132"/>
    </row>
    <row r="102" ht="15.75" customHeight="1">
      <c r="B102" s="132"/>
    </row>
    <row r="103" ht="15.75" customHeight="1">
      <c r="B103" s="132"/>
    </row>
    <row r="104" ht="15.75" customHeight="1">
      <c r="B104" s="132"/>
    </row>
    <row r="105" ht="15.75" customHeight="1">
      <c r="B105" s="132"/>
    </row>
    <row r="106" ht="15.75" customHeight="1">
      <c r="B106" s="132"/>
    </row>
    <row r="107" ht="15.75" customHeight="1">
      <c r="B107" s="132"/>
    </row>
    <row r="108" ht="15.75" customHeight="1">
      <c r="B108" s="132"/>
    </row>
    <row r="109" ht="15.75" customHeight="1">
      <c r="B109" s="132"/>
    </row>
    <row r="110" ht="15.75" customHeight="1">
      <c r="B110" s="132"/>
    </row>
    <row r="111" ht="15.75" customHeight="1">
      <c r="B111" s="132"/>
    </row>
    <row r="112" ht="15.75" customHeight="1">
      <c r="B112" s="132"/>
    </row>
    <row r="113" ht="15.75" customHeight="1">
      <c r="B113" s="132"/>
    </row>
    <row r="114" ht="15.75" customHeight="1">
      <c r="B114" s="132"/>
    </row>
    <row r="115" ht="15.75" customHeight="1">
      <c r="B115" s="132"/>
    </row>
    <row r="116" ht="15.75" customHeight="1">
      <c r="B116" s="132"/>
    </row>
    <row r="117" ht="15.75" customHeight="1">
      <c r="B117" s="132"/>
    </row>
    <row r="118" ht="15.75" customHeight="1">
      <c r="B118" s="132"/>
    </row>
    <row r="119" ht="15.75" customHeight="1">
      <c r="B119" s="132"/>
    </row>
    <row r="120" ht="15.75" customHeight="1">
      <c r="B120" s="132"/>
    </row>
    <row r="121" ht="15.75" customHeight="1">
      <c r="B121" s="132"/>
    </row>
    <row r="122" ht="15.75" customHeight="1">
      <c r="B122" s="132"/>
    </row>
    <row r="123" ht="15.75" customHeight="1">
      <c r="B123" s="132"/>
    </row>
    <row r="124" ht="15.75" customHeight="1">
      <c r="B124" s="132"/>
    </row>
    <row r="125" ht="15.75" customHeight="1">
      <c r="B125" s="132"/>
    </row>
    <row r="126" ht="15.75" customHeight="1">
      <c r="B126" s="132"/>
    </row>
    <row r="127" ht="15.75" customHeight="1">
      <c r="B127" s="132"/>
    </row>
    <row r="128" ht="15.75" customHeight="1">
      <c r="B128" s="132"/>
    </row>
    <row r="129" ht="15.75" customHeight="1">
      <c r="B129" s="132"/>
    </row>
    <row r="130" ht="15.75" customHeight="1">
      <c r="B130" s="132"/>
    </row>
    <row r="131" ht="15.75" customHeight="1">
      <c r="B131" s="132"/>
    </row>
    <row r="132" ht="15.75" customHeight="1">
      <c r="B132" s="132"/>
    </row>
    <row r="133" ht="15.75" customHeight="1">
      <c r="B133" s="132"/>
    </row>
    <row r="134" ht="15.75" customHeight="1">
      <c r="B134" s="132"/>
    </row>
    <row r="135" ht="15.75" customHeight="1">
      <c r="B135" s="132"/>
    </row>
    <row r="136" ht="15.75" customHeight="1">
      <c r="B136" s="132"/>
    </row>
    <row r="137" ht="15.75" customHeight="1">
      <c r="B137" s="132"/>
    </row>
    <row r="138" ht="15.75" customHeight="1">
      <c r="B138" s="132"/>
    </row>
    <row r="139" ht="15.75" customHeight="1">
      <c r="B139" s="132"/>
    </row>
    <row r="140" ht="15.75" customHeight="1">
      <c r="B140" s="132"/>
    </row>
    <row r="141" ht="15.75" customHeight="1">
      <c r="B141" s="132"/>
    </row>
    <row r="142" ht="15.75" customHeight="1">
      <c r="B142" s="132"/>
    </row>
    <row r="143" ht="15.75" customHeight="1">
      <c r="B143" s="132"/>
    </row>
    <row r="144" ht="15.75" customHeight="1">
      <c r="B144" s="132"/>
    </row>
    <row r="145" ht="15.75" customHeight="1">
      <c r="B145" s="132"/>
    </row>
    <row r="146" ht="15.75" customHeight="1">
      <c r="B146" s="132"/>
    </row>
    <row r="147" ht="15.75" customHeight="1">
      <c r="B147" s="132"/>
    </row>
    <row r="148" ht="15.75" customHeight="1">
      <c r="B148" s="132"/>
    </row>
    <row r="149" ht="15.75" customHeight="1">
      <c r="B149" s="132"/>
    </row>
    <row r="150" ht="15.75" customHeight="1">
      <c r="B150" s="132"/>
    </row>
    <row r="151" ht="15.75" customHeight="1">
      <c r="B151" s="132"/>
    </row>
    <row r="152" ht="15.75" customHeight="1">
      <c r="B152" s="132"/>
    </row>
    <row r="153" ht="15.75" customHeight="1">
      <c r="B153" s="132"/>
    </row>
    <row r="154" ht="15.75" customHeight="1">
      <c r="B154" s="132"/>
    </row>
    <row r="155" ht="15.75" customHeight="1">
      <c r="B155" s="132"/>
    </row>
    <row r="156" ht="15.75" customHeight="1">
      <c r="B156" s="132"/>
    </row>
    <row r="157" ht="15.75" customHeight="1">
      <c r="B157" s="132"/>
    </row>
    <row r="158" ht="15.75" customHeight="1">
      <c r="B158" s="132"/>
    </row>
    <row r="159" ht="15.75" customHeight="1">
      <c r="B159" s="132"/>
    </row>
    <row r="160" ht="15.75" customHeight="1">
      <c r="B160" s="132"/>
    </row>
    <row r="161" ht="15.75" customHeight="1">
      <c r="B161" s="132"/>
    </row>
    <row r="162" ht="15.75" customHeight="1">
      <c r="B162" s="132"/>
    </row>
    <row r="163" ht="15.75" customHeight="1">
      <c r="B163" s="132"/>
    </row>
    <row r="164" ht="15.75" customHeight="1">
      <c r="B164" s="132"/>
    </row>
    <row r="165" ht="15.75" customHeight="1">
      <c r="B165" s="132"/>
    </row>
    <row r="166" ht="15.75" customHeight="1">
      <c r="B166" s="132"/>
    </row>
    <row r="167" ht="15.75" customHeight="1">
      <c r="B167" s="132"/>
    </row>
    <row r="168" ht="15.75" customHeight="1">
      <c r="B168" s="132"/>
    </row>
    <row r="169" ht="15.75" customHeight="1">
      <c r="B169" s="132"/>
    </row>
    <row r="170" ht="15.75" customHeight="1">
      <c r="B170" s="132"/>
    </row>
    <row r="171" ht="15.75" customHeight="1">
      <c r="B171" s="132"/>
    </row>
    <row r="172" ht="15.75" customHeight="1">
      <c r="B172" s="132"/>
    </row>
    <row r="173" ht="15.75" customHeight="1">
      <c r="B173" s="132"/>
    </row>
    <row r="174" ht="15.75" customHeight="1">
      <c r="B174" s="132"/>
    </row>
    <row r="175" ht="15.75" customHeight="1">
      <c r="B175" s="132"/>
    </row>
    <row r="176" ht="15.75" customHeight="1">
      <c r="B176" s="132"/>
    </row>
    <row r="177" ht="15.75" customHeight="1">
      <c r="B177" s="132"/>
    </row>
    <row r="178" ht="15.75" customHeight="1">
      <c r="B178" s="132"/>
    </row>
    <row r="179" ht="15.75" customHeight="1">
      <c r="B179" s="132"/>
    </row>
    <row r="180" ht="15.75" customHeight="1">
      <c r="B180" s="132"/>
    </row>
    <row r="181" ht="15.75" customHeight="1">
      <c r="B181" s="132"/>
    </row>
    <row r="182" ht="15.75" customHeight="1">
      <c r="B182" s="132"/>
    </row>
    <row r="183" ht="15.75" customHeight="1">
      <c r="B183" s="132"/>
    </row>
    <row r="184" ht="15.75" customHeight="1">
      <c r="B184" s="132"/>
    </row>
    <row r="185" ht="15.75" customHeight="1">
      <c r="B185" s="132"/>
    </row>
    <row r="186" ht="15.75" customHeight="1">
      <c r="B186" s="132"/>
    </row>
    <row r="187" ht="15.75" customHeight="1">
      <c r="B187" s="132"/>
    </row>
    <row r="188" ht="15.75" customHeight="1">
      <c r="B188" s="132"/>
    </row>
    <row r="189" ht="15.75" customHeight="1">
      <c r="B189" s="132"/>
    </row>
    <row r="190" ht="15.75" customHeight="1">
      <c r="B190" s="132"/>
    </row>
    <row r="191" ht="15.75" customHeight="1">
      <c r="B191" s="132"/>
    </row>
    <row r="192" ht="15.75" customHeight="1">
      <c r="B192" s="132"/>
    </row>
    <row r="193" ht="15.75" customHeight="1">
      <c r="B193" s="132"/>
    </row>
    <row r="194" ht="15.75" customHeight="1">
      <c r="B194" s="132"/>
    </row>
    <row r="195" ht="15.75" customHeight="1">
      <c r="B195" s="132"/>
    </row>
    <row r="196" ht="15.75" customHeight="1">
      <c r="B196" s="132"/>
    </row>
    <row r="197" ht="15.75" customHeight="1">
      <c r="B197" s="132"/>
    </row>
    <row r="198" ht="15.75" customHeight="1">
      <c r="B198" s="132"/>
    </row>
    <row r="199" ht="15.75" customHeight="1">
      <c r="B199" s="132"/>
    </row>
    <row r="200" ht="15.75" customHeight="1">
      <c r="B200" s="132"/>
    </row>
    <row r="201" ht="15.75" customHeight="1">
      <c r="B201" s="132"/>
    </row>
    <row r="202" ht="15.75" customHeight="1">
      <c r="B202" s="132"/>
    </row>
    <row r="203" ht="15.75" customHeight="1">
      <c r="B203" s="132"/>
    </row>
    <row r="204" ht="15.75" customHeight="1">
      <c r="B204" s="132"/>
    </row>
    <row r="205" ht="15.75" customHeight="1">
      <c r="B205" s="132"/>
    </row>
    <row r="206" ht="15.75" customHeight="1">
      <c r="B206" s="132"/>
    </row>
    <row r="207" ht="15.75" customHeight="1">
      <c r="B207" s="132"/>
    </row>
    <row r="208" ht="15.75" customHeight="1">
      <c r="B208" s="132"/>
    </row>
    <row r="209" ht="15.75" customHeight="1">
      <c r="B209" s="132"/>
    </row>
    <row r="210" ht="15.75" customHeight="1">
      <c r="B210" s="132"/>
    </row>
    <row r="211" ht="15.75" customHeight="1">
      <c r="B211" s="132"/>
    </row>
    <row r="212" ht="15.75" customHeight="1">
      <c r="B212" s="132"/>
    </row>
    <row r="213" ht="15.75" customHeight="1">
      <c r="B213" s="132"/>
    </row>
    <row r="214" ht="15.75" customHeight="1">
      <c r="B214" s="132"/>
    </row>
    <row r="215" ht="15.75" customHeight="1">
      <c r="B215" s="132"/>
    </row>
    <row r="216" ht="15.75" customHeight="1">
      <c r="B216" s="132"/>
    </row>
    <row r="217" ht="15.75" customHeight="1">
      <c r="B217" s="132"/>
    </row>
    <row r="218" ht="15.75" customHeight="1">
      <c r="B218" s="132"/>
    </row>
    <row r="219" ht="15.75" customHeight="1">
      <c r="B219" s="132"/>
    </row>
    <row r="220" ht="15.75" customHeight="1">
      <c r="B220" s="13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