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5"/>
    <sheet state="visible" name="Página2" sheetId="2" r:id="rId6"/>
  </sheets>
  <definedNames/>
  <calcPr/>
</workbook>
</file>

<file path=xl/sharedStrings.xml><?xml version="1.0" encoding="utf-8"?>
<sst xmlns="http://schemas.openxmlformats.org/spreadsheetml/2006/main" count="258" uniqueCount="156">
  <si>
    <t>PROPOSTA</t>
  </si>
  <si>
    <t>PLANILHA DE CUSTOS E FORMAÇÃO DE PREÇOS</t>
  </si>
  <si>
    <t>Informações Gerais</t>
  </si>
  <si>
    <r>
      <rPr>
        <rFont val="Arial"/>
        <b/>
        <color theme="1"/>
        <sz val="8.0"/>
      </rPr>
      <t>Órgão Licitante:</t>
    </r>
    <r>
      <rPr>
        <rFont val="Arial"/>
        <b/>
        <color rgb="FF0000FF"/>
        <sz val="8.0"/>
      </rPr>
      <t xml:space="preserve"> TRIBUNAL REGIONAL DO TRABALHO DA 12ª REGIÃO</t>
    </r>
  </si>
  <si>
    <t>Nº do Processo:</t>
  </si>
  <si>
    <t>Licitação nº :</t>
  </si>
  <si>
    <t xml:space="preserve">Razão Social: </t>
  </si>
  <si>
    <t>CNPJ:</t>
  </si>
  <si>
    <t>Endereço Comercial:</t>
  </si>
  <si>
    <t>Bairro:</t>
  </si>
  <si>
    <r>
      <rPr>
        <rFont val="Arial"/>
        <color theme="1"/>
        <sz val="8.0"/>
      </rPr>
      <t>Cidade:</t>
    </r>
    <r>
      <rPr>
        <rFont val="Arial"/>
        <color rgb="FF0000FF"/>
        <sz val="8.0"/>
      </rPr>
      <t xml:space="preserve"> FLORIANÓPOLIS</t>
    </r>
  </si>
  <si>
    <r>
      <rPr>
        <rFont val="Arial"/>
        <color theme="1"/>
        <sz val="8.0"/>
      </rPr>
      <t>Estado:</t>
    </r>
    <r>
      <rPr>
        <rFont val="Arial"/>
        <color rgb="FF0000FF"/>
        <sz val="8.0"/>
      </rPr>
      <t xml:space="preserve"> SC</t>
    </r>
  </si>
  <si>
    <t>CEP:</t>
  </si>
  <si>
    <t>Telefone:</t>
  </si>
  <si>
    <t>Email:</t>
  </si>
  <si>
    <t>Validade da Proposta: 60 dias</t>
  </si>
  <si>
    <t>Discriminação dos Serviços (dados referentes à contratação)</t>
  </si>
  <si>
    <t>A</t>
  </si>
  <si>
    <t>Data de apresentação da proposta (dia/mês/ano):</t>
  </si>
  <si>
    <t>B</t>
  </si>
  <si>
    <t>Município/UF (onde o serviço será prestado):</t>
  </si>
  <si>
    <t>FLORIANÓPOLIS / SC</t>
  </si>
  <si>
    <t>C</t>
  </si>
  <si>
    <t>Acordo, Convenção ou Sentença em Dissídio Coletivo:</t>
  </si>
  <si>
    <t>D</t>
  </si>
  <si>
    <t>Nº de meses da execução contratual:</t>
  </si>
  <si>
    <t>Identificação do Serviço</t>
  </si>
  <si>
    <t>Tipo de Serviço/Carga Horária</t>
  </si>
  <si>
    <t>Empregados por Posto</t>
  </si>
  <si>
    <t>Unidade de Medida</t>
  </si>
  <si>
    <t>Qtdade. Total a Contratar
(Nº de Postos)</t>
  </si>
  <si>
    <t>Auxiliar em Saúde Bucal</t>
  </si>
  <si>
    <t>Posto de Serviço</t>
  </si>
  <si>
    <t>Mão de Obra</t>
  </si>
  <si>
    <t>Mão de Obra Vinculada à Execução Contratual</t>
  </si>
  <si>
    <t>Dados Complementares para Composição dos Custos Referentes à Mão de Obra</t>
  </si>
  <si>
    <t>Tipo de serviço (descrição resumida):</t>
  </si>
  <si>
    <t>Classificação Brasileira de Ocupações (CBO):</t>
  </si>
  <si>
    <t>Salário Normativo da Categoria Profissional:</t>
  </si>
  <si>
    <t>Categoria Profissional (vinculada à execução contratual):</t>
  </si>
  <si>
    <t>E</t>
  </si>
  <si>
    <t>Data-Base da Categoria (dia/mês):</t>
  </si>
  <si>
    <t>F</t>
  </si>
  <si>
    <t>Dias Trabalhados no Mês:</t>
  </si>
  <si>
    <t>G</t>
  </si>
  <si>
    <t>Local de Execução dos Serviços:</t>
  </si>
  <si>
    <t>MÓDULO 1: COMPOSIÇÃO DA REMUNERAÇÃO</t>
  </si>
  <si>
    <t>Rubrica</t>
  </si>
  <si>
    <t>Percentual (%)</t>
  </si>
  <si>
    <t>Valor (R$)</t>
  </si>
  <si>
    <t>Salário-Base:</t>
  </si>
  <si>
    <t>Adicional de Periculosidade:</t>
  </si>
  <si>
    <t>NÃO</t>
  </si>
  <si>
    <t>Adicional de Insalubridade:</t>
  </si>
  <si>
    <t>MÉDIO</t>
  </si>
  <si>
    <t>SALÁRIO-BASE</t>
  </si>
  <si>
    <t>Adicional Noturno:</t>
  </si>
  <si>
    <t>Adicional de Hora Noturna Reduzida:</t>
  </si>
  <si>
    <t>Outros (especificar):</t>
  </si>
  <si>
    <t>Total da Remuneração:</t>
  </si>
  <si>
    <t>MÓDULO 2: ENCARGOS E BENEFÍCIOS ANUAIS, MENSAIS E DIÁRIOS</t>
  </si>
  <si>
    <t xml:space="preserve">SUBMÓDULO 2.1: 13º Salário, Férias e Adicional de Férias </t>
  </si>
  <si>
    <t>13º Salário:</t>
  </si>
  <si>
    <t>Férias e Adicional de Férias:</t>
  </si>
  <si>
    <t>Subtotal:</t>
  </si>
  <si>
    <r>
      <rPr>
        <rFont val="Arial"/>
        <b/>
        <color theme="1"/>
        <sz val="9.0"/>
      </rPr>
      <t xml:space="preserve">SUBMÓDULO 2.2: GPS, FGTS e Outras Contribuições </t>
    </r>
    <r>
      <rPr>
        <rFont val="Arial"/>
        <b/>
        <color rgb="FFFF0000"/>
        <sz val="9.0"/>
      </rPr>
      <t>(Incide sobre os Módulos 1 e 2.1)</t>
    </r>
  </si>
  <si>
    <t>INSS:</t>
  </si>
  <si>
    <t>DESONERAÇÃO FOLHA DE PAGAMENTO:</t>
  </si>
  <si>
    <t>Salário Educação:</t>
  </si>
  <si>
    <t>Seguro Acidente de Trabalho:</t>
  </si>
  <si>
    <t xml:space="preserve"> RAT x FAP ; utilizar o FAP efetivo conforme GFIP ou FAP-WEB</t>
  </si>
  <si>
    <t>RAT = 3%</t>
  </si>
  <si>
    <t xml:space="preserve">FAP = </t>
  </si>
  <si>
    <t>SESI ou SESC:</t>
  </si>
  <si>
    <t>SENAI ou SENAC:</t>
  </si>
  <si>
    <t>SEBRAE:</t>
  </si>
  <si>
    <t>INCRA:</t>
  </si>
  <si>
    <t>H</t>
  </si>
  <si>
    <t>FGTS:</t>
  </si>
  <si>
    <t>SUBMÓDULO 2.3: Benefícios Mensais e Diários</t>
  </si>
  <si>
    <t>Valor unitário (R$)</t>
  </si>
  <si>
    <t>Valor Mensal (R$)</t>
  </si>
  <si>
    <t>Transporte:</t>
  </si>
  <si>
    <t>Valor Ticket:</t>
  </si>
  <si>
    <t>(-) Desconto Auxílio Transporte:</t>
  </si>
  <si>
    <t>Auxílio Alimentação/Refeição:</t>
  </si>
  <si>
    <t>(-) Desconto Auxílio Alimentação/Refeição:</t>
  </si>
  <si>
    <t>Assistência Médica, Odontológica e Familiar:</t>
  </si>
  <si>
    <t>-</t>
  </si>
  <si>
    <t>Seguros de Vida, Invalidez e Funeral:</t>
  </si>
  <si>
    <t>Prêmio Assiduidade</t>
  </si>
  <si>
    <t>SUBMÓDULO 2.4: Intervalo Intrajornada do Titular</t>
  </si>
  <si>
    <t>Intervalo Intrajornada</t>
  </si>
  <si>
    <t>QUADRO-RESUMO DO MÓDULO 2: ENCARGOS E BENEFÍCIOS ANUAIS, MENSAIS E DIÁRIOS</t>
  </si>
  <si>
    <t>13º Salário, Férias e Adicional de Férias:</t>
  </si>
  <si>
    <t>GPS, FGTS e Outras Contribuições:</t>
  </si>
  <si>
    <t>Benefícios Mensais e Diários:</t>
  </si>
  <si>
    <t>Intervalo Intrajornada do Titular:</t>
  </si>
  <si>
    <t>Total:</t>
  </si>
  <si>
    <t>MÓDULO 3: PROVISÃO PARA RESCISÃO</t>
  </si>
  <si>
    <t>Aviso Prévio Indenizado:</t>
  </si>
  <si>
    <t>Incidência do FGTS sobre o Aviso Prévio Indenizado:</t>
  </si>
  <si>
    <r>
      <rPr>
        <rFont val="Arial"/>
        <color theme="1"/>
        <sz val="8.0"/>
      </rPr>
      <t xml:space="preserve">Multa do FGTS </t>
    </r>
    <r>
      <rPr>
        <rFont val="Arial"/>
        <strike/>
        <color theme="1"/>
        <sz val="8.0"/>
      </rPr>
      <t>e Contribuição Social</t>
    </r>
    <r>
      <rPr>
        <rFont val="Arial"/>
        <color theme="1"/>
        <sz val="8.0"/>
      </rPr>
      <t xml:space="preserve"> sobre o Aviso Prévio Indenizado:</t>
    </r>
  </si>
  <si>
    <t>Aviso Prévio Trabalhado:</t>
  </si>
  <si>
    <t>Incidência do Submódulo 2.2 sobre o Aviso Prévio Trabalhado:</t>
  </si>
  <si>
    <r>
      <rPr>
        <rFont val="Arial"/>
        <color theme="1"/>
        <sz val="8.0"/>
      </rPr>
      <t xml:space="preserve">Multa do FGTS </t>
    </r>
    <r>
      <rPr>
        <rFont val="Arial"/>
        <strike/>
        <color theme="1"/>
        <sz val="8.0"/>
      </rPr>
      <t>e Contribuição Social</t>
    </r>
    <r>
      <rPr>
        <rFont val="Arial"/>
        <color theme="1"/>
        <sz val="8.0"/>
      </rPr>
      <t xml:space="preserve"> sobre o Aviso Prévio Trabalhado:</t>
    </r>
  </si>
  <si>
    <t>MÓDULO 4: CUSTO DE REPOSIÇÃO DO PROFISSIONAL AUSENTE</t>
  </si>
  <si>
    <t>SUBMÓDULO 4.1: Substituto nas Ausências Legais</t>
  </si>
  <si>
    <t>Substituto na Cobertura de Férias:</t>
  </si>
  <si>
    <t>Substituto na Cobertura de Ausências Legais:</t>
  </si>
  <si>
    <t>Substituto na Cobertura de Licença-Paternidade:</t>
  </si>
  <si>
    <t>Substituto na Cobertura de Ausência por Acidente de Trabalho:</t>
  </si>
  <si>
    <t>Substituto na Cobertura de Afastamento Maternidade:</t>
  </si>
  <si>
    <t>Substituto na Cobertura de Outras Ausências (doença):</t>
  </si>
  <si>
    <t>SUBMÓDULO 4.2: Substituto na Intrajornada</t>
  </si>
  <si>
    <t>Substituto na Cobertura de Intervalo para Repouso ou Alimentação:</t>
  </si>
  <si>
    <t>QUADRO-RESUMO DO MÓDULO 4: CUSTO DE REPOSIÇÃO DO PROFISSIONAL AUSENTE</t>
  </si>
  <si>
    <t>Substituto nas Ausências Legais:</t>
  </si>
  <si>
    <t>Substituto na Intrajornada:</t>
  </si>
  <si>
    <t>Total</t>
  </si>
  <si>
    <t>MÓDULO 5: INSUMOS DIVERSOS</t>
  </si>
  <si>
    <t>Uniformes:</t>
  </si>
  <si>
    <t>Materiais:</t>
  </si>
  <si>
    <t>Equipamentos (depreciação):</t>
  </si>
  <si>
    <t>TOTAL DE ENCARGOS:</t>
  </si>
  <si>
    <t>MÓDULO 6: CUSTOS INDIRETOS, TRIBUTOS E LUCRO</t>
  </si>
  <si>
    <t>Custos Indiretos:</t>
  </si>
  <si>
    <t>Lucro:</t>
  </si>
  <si>
    <t>C.1</t>
  </si>
  <si>
    <t>Tributos Federais:</t>
  </si>
  <si>
    <t>Regime Tributário:</t>
  </si>
  <si>
    <t>SIMPLES NACIONAL</t>
  </si>
  <si>
    <t>C.1.A</t>
  </si>
  <si>
    <t>PIS:</t>
  </si>
  <si>
    <t>C.1.B</t>
  </si>
  <si>
    <t>COFINS:</t>
  </si>
  <si>
    <t>C.1.C</t>
  </si>
  <si>
    <t>C.3</t>
  </si>
  <si>
    <t>Tributos Municipais:</t>
  </si>
  <si>
    <t>C.3.A</t>
  </si>
  <si>
    <t>ISS:</t>
  </si>
  <si>
    <t>QUADRO-RESUMO DO CUSTO POR EMPREGADO</t>
  </si>
  <si>
    <t>Mão-de-Obra Vinculada à Execução Contratual (valor por empregado)</t>
  </si>
  <si>
    <t>Módulo 1 - Composição da Remuneração:</t>
  </si>
  <si>
    <t>Módulo 2 - Encargos e Benefícios Anuais, Mensais e Diários:</t>
  </si>
  <si>
    <t>Módulo 3 - Provisão para Rescisão:</t>
  </si>
  <si>
    <t>Módulo 4: Custo de Reposição do Profissional Ausente:</t>
  </si>
  <si>
    <t>Módulo 5: insumos Diversos:</t>
  </si>
  <si>
    <t>Subtotal (A + B + C + D + E):</t>
  </si>
  <si>
    <t>Módulo 6 - Custos Indiretos, Tributos e Lucro:</t>
  </si>
  <si>
    <t>VALOR MENSAL TOTAL POR EMPREGADO:</t>
  </si>
  <si>
    <t>EMPREGADOS POR POSTO:</t>
  </si>
  <si>
    <t>VALOR MENSAL TOTAL POR POSTO:</t>
  </si>
  <si>
    <t>QUANTIDADE DE POSTOS:</t>
  </si>
  <si>
    <t>VALOR MENSAL DO CONTRATO:</t>
  </si>
  <si>
    <t>VALOR TOTAL DO CONTRATO: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</si>
</sst>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#,##0.00;(#,##0.00)"/>
    <numFmt numFmtId="165" formatCode="dd/MM/yyyy"/>
    <numFmt numFmtId="166" formatCode="[$R$ -416]#,##0.00"/>
    <numFmt numFmtId="167" formatCode="d.m"/>
    <numFmt numFmtId="168" formatCode="0.0000"/>
    <numFmt numFmtId="169" formatCode="0.000%"/>
  </numFmts>
  <fonts count="13">
    <font>
      <sz val="10.0"/>
      <color rgb="FF000000"/>
      <name val="Arial"/>
      <scheme val="minor"/>
    </font>
    <font>
      <color theme="1"/>
      <name val="Arial"/>
    </font>
    <font>
      <b/>
      <color theme="1"/>
      <name val="Arial"/>
    </font>
    <font>
      <b/>
      <sz val="9.0"/>
      <color theme="1"/>
      <name val="Arial"/>
    </font>
    <font>
      <b/>
      <sz val="8.0"/>
      <color theme="1"/>
      <name val="Arial"/>
    </font>
    <font>
      <sz val="8.0"/>
      <color theme="1"/>
      <name val="Arial"/>
    </font>
    <font>
      <b/>
      <sz val="8.0"/>
      <color rgb="FFFF0000"/>
      <name val="Arial"/>
    </font>
    <font>
      <sz val="8.0"/>
      <color rgb="FF0000FF"/>
      <name val="Arial"/>
    </font>
    <font>
      <b/>
      <sz val="8.0"/>
      <color rgb="FF0000FF"/>
      <name val="Arial"/>
    </font>
    <font>
      <sz val="8.0"/>
      <color rgb="FFFF0000"/>
      <name val="Arial"/>
    </font>
    <font>
      <color rgb="FF0000FF"/>
      <name val="Arial"/>
    </font>
    <font>
      <b/>
      <color rgb="FF0000FF"/>
      <name val="Arial"/>
    </font>
    <font>
      <b/>
      <color rgb="FFEA4335"/>
      <name val="Arial"/>
    </font>
  </fonts>
  <fills count="8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F6B26B"/>
        <bgColor rgb="FFF6B26B"/>
      </patternFill>
    </fill>
    <fill>
      <patternFill patternType="solid">
        <fgColor rgb="FFD9D9D9"/>
        <bgColor rgb="FFD9D9D9"/>
      </patternFill>
    </fill>
    <fill>
      <patternFill patternType="solid">
        <fgColor rgb="FFFFD966"/>
        <bgColor rgb="FFFFD966"/>
      </patternFill>
    </fill>
  </fills>
  <borders count="1">
    <border/>
  </borders>
  <cellStyleXfs count="1">
    <xf borderId="0" fillId="0" fontId="0" numFmtId="0" applyAlignment="1" applyFont="1"/>
  </cellStyleXfs>
  <cellXfs count="1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164" xfId="0" applyAlignment="1" applyFont="1" applyNumberFormat="1">
      <alignment vertical="bottom"/>
    </xf>
    <xf borderId="0" fillId="2" fontId="2" numFmtId="0" xfId="0" applyAlignment="1" applyFill="1" applyFont="1">
      <alignment horizontal="center" vertical="bottom"/>
    </xf>
    <xf borderId="0" fillId="2" fontId="3" numFmtId="0" xfId="0" applyAlignment="1" applyFill="1" applyFont="1">
      <alignment horizontal="center" vertical="bottom"/>
    </xf>
    <xf borderId="0" fillId="3" fontId="4" numFmtId="0" xfId="0" applyAlignment="1" applyFill="1" applyFont="1">
      <alignment vertical="bottom"/>
    </xf>
    <xf borderId="0" fillId="4" fontId="4" numFmtId="0" xfId="0" applyAlignment="1" applyFill="1" applyFont="1">
      <alignment vertical="bottom"/>
    </xf>
    <xf borderId="0" fillId="3" fontId="5" numFmtId="0" xfId="0" applyAlignment="1" applyFill="1" applyFont="1">
      <alignment vertical="bottom"/>
    </xf>
    <xf borderId="0" fillId="4" fontId="5" numFmtId="0" xfId="0" applyAlignment="1" applyFill="1" applyFont="1">
      <alignment vertical="bottom"/>
    </xf>
    <xf borderId="0" fillId="2" fontId="4" numFmtId="0" xfId="0" applyAlignment="1" applyFill="1" applyFont="1">
      <alignment vertical="bottom"/>
    </xf>
    <xf borderId="0" fillId="2" fontId="6" numFmtId="0" xfId="0" applyAlignment="1" applyFill="1" applyFont="1">
      <alignment horizontal="right" vertical="bottom"/>
    </xf>
    <xf borderId="0" fillId="4" fontId="5" numFmtId="0" xfId="0" applyAlignment="1" applyFill="1" applyFont="1">
      <alignment horizontal="center" vertical="bottom"/>
    </xf>
    <xf borderId="0" fillId="4" fontId="7" numFmtId="165" xfId="0" applyAlignment="1" applyFill="1" applyFont="1" applyNumberFormat="1">
      <alignment horizontal="center" vertical="bottom"/>
    </xf>
    <xf borderId="0" fillId="3" fontId="5" numFmtId="0" xfId="0" applyAlignment="1" applyFill="1" applyFont="1">
      <alignment horizontal="center" vertical="bottom"/>
    </xf>
    <xf borderId="0" fillId="3" fontId="7" numFmtId="0" xfId="0" applyAlignment="1" applyFill="1" applyFont="1">
      <alignment horizontal="center" vertical="bottom"/>
    </xf>
    <xf borderId="0" fillId="4" fontId="7" numFmtId="0" xfId="0" applyAlignment="1" applyFill="1" applyFont="1">
      <alignment horizontal="center" vertical="bottom"/>
    </xf>
    <xf borderId="0" fillId="2" fontId="3" numFmtId="0" xfId="0" applyAlignment="1" applyFill="1" applyFont="1">
      <alignment horizontal="center"/>
    </xf>
    <xf borderId="0" fillId="2" fontId="3" numFmtId="0" xfId="0" applyAlignment="1" applyFill="1" applyFont="1">
      <alignment horizontal="center" shrinkToFit="0" wrapText="1"/>
    </xf>
    <xf borderId="0" fillId="0" fontId="1" numFmtId="0" xfId="0" applyFont="1"/>
    <xf borderId="0" fillId="3" fontId="7" numFmtId="0" xfId="0" applyAlignment="1" applyFill="1" applyFont="1">
      <alignment horizontal="center" readingOrder="0" shrinkToFit="0" wrapText="1"/>
    </xf>
    <xf borderId="0" fillId="3" fontId="7" numFmtId="0" xfId="0" applyAlignment="1" applyFill="1" applyFont="1">
      <alignment horizontal="center" shrinkToFit="0" wrapText="1"/>
    </xf>
    <xf borderId="0" fillId="4" fontId="5" numFmtId="0" xfId="0" applyAlignment="1" applyFill="1" applyFont="1">
      <alignment horizontal="center"/>
    </xf>
    <xf borderId="0" fillId="4" fontId="5" numFmtId="0" xfId="0" applyFill="1" applyFont="1"/>
    <xf borderId="0" fillId="4" fontId="7" numFmtId="0" xfId="0" applyAlignment="1" applyFill="1" applyFont="1">
      <alignment horizontal="center" shrinkToFit="0" wrapText="1"/>
    </xf>
    <xf borderId="0" fillId="3" fontId="5" numFmtId="0" xfId="0" applyAlignment="1" applyFill="1" applyFont="1">
      <alignment horizontal="center"/>
    </xf>
    <xf borderId="0" fillId="3" fontId="5" numFmtId="0" xfId="0" applyFill="1" applyFont="1"/>
    <xf borderId="0" fillId="3" fontId="7" numFmtId="0" xfId="0" applyAlignment="1" applyFill="1" applyFont="1">
      <alignment horizontal="center"/>
    </xf>
    <xf borderId="0" fillId="4" fontId="7" numFmtId="166" xfId="0" applyAlignment="1" applyFill="1" applyFont="1" applyNumberFormat="1">
      <alignment horizontal="center"/>
    </xf>
    <xf borderId="0" fillId="4" fontId="7" numFmtId="165" xfId="0" applyAlignment="1" applyFill="1" applyFont="1" applyNumberFormat="1">
      <alignment horizontal="center"/>
    </xf>
    <xf borderId="0" fillId="3" fontId="7" numFmtId="2" xfId="0" applyAlignment="1" applyFill="1" applyFont="1" applyNumberFormat="1">
      <alignment horizontal="center"/>
    </xf>
    <xf borderId="0" fillId="5" fontId="3" numFmtId="0" xfId="0" applyAlignment="1" applyFill="1" applyFont="1">
      <alignment horizontal="center" vertical="bottom"/>
    </xf>
    <xf borderId="0" fillId="6" fontId="3" numFmtId="0" xfId="0" applyAlignment="1" applyFill="1" applyFont="1">
      <alignment horizontal="right" vertical="bottom"/>
    </xf>
    <xf borderId="0" fillId="6" fontId="3" numFmtId="0" xfId="0" applyAlignment="1" applyFill="1" applyFont="1">
      <alignment vertical="bottom"/>
    </xf>
    <xf borderId="0" fillId="6" fontId="3" numFmtId="0" xfId="0" applyAlignment="1" applyFill="1" applyFont="1">
      <alignment horizontal="center" vertical="bottom"/>
    </xf>
    <xf borderId="0" fillId="6" fontId="3" numFmtId="164" xfId="0" applyAlignment="1" applyFill="1" applyFont="1" applyNumberFormat="1">
      <alignment horizontal="center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10" xfId="0" applyAlignment="1" applyFont="1" applyNumberFormat="1">
      <alignment horizontal="center" vertical="bottom"/>
    </xf>
    <xf borderId="0" fillId="0" fontId="5" numFmtId="164" xfId="0" applyAlignment="1" applyFont="1" applyNumberFormat="1">
      <alignment horizontal="right" vertical="bottom"/>
    </xf>
    <xf borderId="0" fillId="3" fontId="5" numFmtId="0" xfId="0" applyAlignment="1" applyFill="1" applyFont="1">
      <alignment horizontal="right" vertical="bottom"/>
    </xf>
    <xf borderId="0" fillId="3" fontId="8" numFmtId="0" xfId="0" applyAlignment="1" applyFill="1" applyFont="1">
      <alignment horizontal="center" vertical="bottom"/>
    </xf>
    <xf borderId="0" fillId="3" fontId="1" numFmtId="0" xfId="0" applyAlignment="1" applyFill="1" applyFont="1">
      <alignment vertical="bottom"/>
    </xf>
    <xf borderId="0" fillId="3" fontId="5" numFmtId="10" xfId="0" applyAlignment="1" applyFill="1" applyFont="1" applyNumberFormat="1">
      <alignment horizontal="center" vertical="bottom"/>
    </xf>
    <xf borderId="0" fillId="3" fontId="5" numFmtId="164" xfId="0" applyAlignment="1" applyFill="1" applyFont="1" applyNumberFormat="1">
      <alignment horizontal="right" vertical="bottom"/>
    </xf>
    <xf borderId="0" fillId="0" fontId="8" numFmtId="0" xfId="0" applyAlignment="1" applyFont="1">
      <alignment horizontal="center" vertical="bottom"/>
    </xf>
    <xf borderId="0" fillId="5" fontId="3" numFmtId="0" xfId="0" applyAlignment="1" applyFill="1" applyFont="1">
      <alignment horizontal="right" vertical="bottom"/>
    </xf>
    <xf borderId="0" fillId="5" fontId="3" numFmtId="166" xfId="0" applyAlignment="1" applyFill="1" applyFont="1" applyNumberFormat="1">
      <alignment horizontal="right" vertical="bottom"/>
    </xf>
    <xf borderId="0" fillId="6" fontId="3" numFmtId="167" xfId="0" applyAlignment="1" applyFill="1" applyFont="1" applyNumberFormat="1">
      <alignment horizontal="right" vertical="bottom"/>
    </xf>
    <xf borderId="0" fillId="6" fontId="3" numFmtId="10" xfId="0" applyAlignment="1" applyFill="1" applyFont="1" applyNumberFormat="1">
      <alignment horizontal="center" vertical="bottom"/>
    </xf>
    <xf borderId="0" fillId="6" fontId="3" numFmtId="166" xfId="0" applyAlignment="1" applyFill="1" applyFont="1" applyNumberFormat="1">
      <alignment horizontal="right" vertical="bottom"/>
    </xf>
    <xf borderId="0" fillId="0" fontId="5" numFmtId="0" xfId="0" applyAlignment="1" applyFont="1">
      <alignment horizontal="right"/>
    </xf>
    <xf borderId="0" fillId="0" fontId="5" numFmtId="0" xfId="0" applyFont="1"/>
    <xf borderId="0" fillId="0" fontId="4" numFmtId="0" xfId="0" applyAlignment="1" applyFont="1">
      <alignment horizontal="right" shrinkToFit="0" wrapText="1"/>
    </xf>
    <xf borderId="0" fillId="0" fontId="8" numFmtId="0" xfId="0" applyFont="1"/>
    <xf borderId="0" fillId="0" fontId="5" numFmtId="10" xfId="0" applyAlignment="1" applyFont="1" applyNumberFormat="1">
      <alignment horizontal="center"/>
    </xf>
    <xf borderId="0" fillId="0" fontId="5" numFmtId="164" xfId="0" applyAlignment="1" applyFont="1" applyNumberFormat="1">
      <alignment horizontal="right"/>
    </xf>
    <xf borderId="0" fillId="0" fontId="9" numFmtId="0" xfId="0" applyAlignment="1" applyFont="1">
      <alignment horizontal="center" vertical="bottom"/>
    </xf>
    <xf borderId="0" fillId="0" fontId="8" numFmtId="0" xfId="0" applyAlignment="1" applyFont="1">
      <alignment horizontal="right" vertical="bottom"/>
    </xf>
    <xf borderId="0" fillId="0" fontId="4" numFmtId="0" xfId="0" applyAlignment="1" applyFont="1">
      <alignment vertical="bottom"/>
    </xf>
    <xf borderId="0" fillId="0" fontId="8" numFmtId="168" xfId="0" applyAlignment="1" applyFont="1" applyNumberFormat="1">
      <alignment vertical="bottom"/>
    </xf>
    <xf borderId="0" fillId="0" fontId="4" numFmtId="0" xfId="0" applyAlignment="1" applyFont="1">
      <alignment horizontal="right" vertical="bottom"/>
    </xf>
    <xf borderId="0" fillId="0" fontId="7" numFmtId="166" xfId="0" applyAlignment="1" applyFont="1" applyNumberFormat="1">
      <alignment horizontal="center" vertical="bottom"/>
    </xf>
    <xf borderId="0" fillId="3" fontId="4" numFmtId="0" xfId="0" applyAlignment="1" applyFill="1" applyFont="1">
      <alignment horizontal="right" vertical="bottom"/>
    </xf>
    <xf borderId="0" fillId="3" fontId="7" numFmtId="166" xfId="0" applyAlignment="1" applyFill="1" applyFont="1" applyNumberFormat="1">
      <alignment horizontal="center" vertical="bottom"/>
    </xf>
    <xf borderId="0" fillId="3" fontId="7" numFmtId="10" xfId="0" applyAlignment="1" applyFill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6" fontId="1" numFmtId="0" xfId="0" applyAlignment="1" applyFill="1" applyFont="1">
      <alignment vertical="bottom"/>
    </xf>
    <xf borderId="0" fillId="0" fontId="10" numFmtId="1" xfId="0" applyAlignment="1" applyFont="1" applyNumberFormat="1">
      <alignment horizontal="center" vertical="bottom"/>
    </xf>
    <xf borderId="0" fillId="0" fontId="4" numFmtId="167" xfId="0" applyAlignment="1" applyFont="1" applyNumberFormat="1">
      <alignment horizontal="right" vertical="bottom"/>
    </xf>
    <xf borderId="0" fillId="0" fontId="4" numFmtId="164" xfId="0" applyAlignment="1" applyFont="1" applyNumberFormat="1">
      <alignment horizontal="right" vertical="bottom"/>
    </xf>
    <xf borderId="0" fillId="3" fontId="4" numFmtId="167" xfId="0" applyAlignment="1" applyFill="1" applyFont="1" applyNumberFormat="1">
      <alignment horizontal="right" vertical="bottom"/>
    </xf>
    <xf borderId="0" fillId="3" fontId="4" numFmtId="164" xfId="0" applyAlignment="1" applyFill="1" applyFont="1" applyNumberFormat="1">
      <alignment horizontal="right" vertical="bottom"/>
    </xf>
    <xf borderId="0" fillId="3" fontId="5" numFmtId="169" xfId="0" applyAlignment="1" applyFill="1" applyFont="1" applyNumberFormat="1">
      <alignment horizontal="center" vertical="bottom"/>
    </xf>
    <xf borderId="0" fillId="5" fontId="3" numFmtId="10" xfId="0" applyAlignment="1" applyFill="1" applyFont="1" applyNumberFormat="1">
      <alignment horizontal="center" vertical="bottom"/>
    </xf>
    <xf borderId="0" fillId="0" fontId="5" numFmtId="169" xfId="0" applyAlignment="1" applyFont="1" applyNumberFormat="1">
      <alignment horizontal="center" vertical="bottom"/>
    </xf>
    <xf borderId="0" fillId="6" fontId="1" numFmtId="166" xfId="0" applyAlignment="1" applyFill="1" applyFont="1" applyNumberFormat="1">
      <alignment vertical="bottom"/>
    </xf>
    <xf borderId="0" fillId="0" fontId="4" numFmtId="10" xfId="0" applyAlignment="1" applyFont="1" applyNumberFormat="1">
      <alignment horizontal="center" vertical="bottom"/>
    </xf>
    <xf borderId="0" fillId="3" fontId="1" numFmtId="166" xfId="0" applyAlignment="1" applyFill="1" applyFont="1" applyNumberFormat="1">
      <alignment vertical="bottom"/>
    </xf>
    <xf borderId="0" fillId="0" fontId="7" numFmtId="4" xfId="0" applyAlignment="1" applyFont="1" applyNumberFormat="1">
      <alignment horizontal="right" vertical="bottom"/>
    </xf>
    <xf borderId="0" fillId="3" fontId="7" numFmtId="4" xfId="0" applyAlignment="1" applyFill="1" applyFont="1" applyNumberFormat="1">
      <alignment horizontal="right" vertical="bottom"/>
    </xf>
    <xf borderId="0" fillId="2" fontId="1" numFmtId="0" xfId="0" applyAlignment="1" applyFill="1" applyFont="1">
      <alignment vertical="bottom"/>
    </xf>
    <xf borderId="0" fillId="2" fontId="3" numFmtId="0" xfId="0" applyAlignment="1" applyFill="1" applyFont="1">
      <alignment horizontal="right" vertical="bottom"/>
    </xf>
    <xf borderId="0" fillId="2" fontId="3" numFmtId="10" xfId="0" applyAlignment="1" applyFill="1" applyFont="1" applyNumberFormat="1">
      <alignment horizontal="center" vertical="bottom"/>
    </xf>
    <xf borderId="0" fillId="5" fontId="3" numFmtId="0" xfId="0" applyAlignment="1" applyFill="1" applyFont="1">
      <alignment horizontal="center"/>
    </xf>
    <xf borderId="0" fillId="6" fontId="3" numFmtId="0" xfId="0" applyAlignment="1" applyFill="1" applyFont="1">
      <alignment horizontal="right"/>
    </xf>
    <xf borderId="0" fillId="6" fontId="3" numFmtId="0" xfId="0" applyFill="1" applyFont="1"/>
    <xf borderId="0" fillId="6" fontId="3" numFmtId="0" xfId="0" applyAlignment="1" applyFill="1" applyFont="1">
      <alignment horizontal="center"/>
    </xf>
    <xf borderId="0" fillId="6" fontId="3" numFmtId="164" xfId="0" applyAlignment="1" applyFill="1" applyFont="1" applyNumberFormat="1">
      <alignment horizontal="center"/>
    </xf>
    <xf borderId="0" fillId="0" fontId="4" numFmtId="0" xfId="0" applyAlignment="1" applyFont="1">
      <alignment horizontal="right"/>
    </xf>
    <xf borderId="0" fillId="0" fontId="4" numFmtId="0" xfId="0" applyFont="1"/>
    <xf borderId="0" fillId="0" fontId="11" numFmtId="10" xfId="0" applyAlignment="1" applyFont="1" applyNumberFormat="1">
      <alignment horizontal="center"/>
    </xf>
    <xf borderId="0" fillId="3" fontId="4" numFmtId="0" xfId="0" applyAlignment="1" applyFill="1" applyFont="1">
      <alignment horizontal="right"/>
    </xf>
    <xf borderId="0" fillId="3" fontId="4" numFmtId="0" xfId="0" applyFill="1" applyFont="1"/>
    <xf borderId="0" fillId="3" fontId="11" numFmtId="10" xfId="0" applyAlignment="1" applyFill="1" applyFont="1" applyNumberFormat="1">
      <alignment horizontal="center"/>
    </xf>
    <xf borderId="0" fillId="3" fontId="5" numFmtId="164" xfId="0" applyAlignment="1" applyFill="1" applyFont="1" applyNumberFormat="1">
      <alignment horizontal="right"/>
    </xf>
    <xf borderId="0" fillId="0" fontId="4" numFmtId="10" xfId="0" applyAlignment="1" applyFont="1" applyNumberFormat="1">
      <alignment horizontal="center"/>
    </xf>
    <xf borderId="0" fillId="0" fontId="4" numFmtId="164" xfId="0" applyAlignment="1" applyFont="1" applyNumberFormat="1">
      <alignment horizontal="right"/>
    </xf>
    <xf borderId="0" fillId="3" fontId="5" numFmtId="0" xfId="0" applyAlignment="1" applyFill="1" applyFont="1">
      <alignment horizontal="right"/>
    </xf>
    <xf borderId="0" fillId="3" fontId="9" numFmtId="0" xfId="0" applyAlignment="1" applyFill="1" applyFont="1">
      <alignment shrinkToFit="0" wrapText="1"/>
    </xf>
    <xf borderId="0" fillId="3" fontId="5" numFmtId="10" xfId="0" applyAlignment="1" applyFill="1" applyFont="1" applyNumberFormat="1">
      <alignment horizontal="center"/>
    </xf>
    <xf borderId="0" fillId="0" fontId="9" numFmtId="0" xfId="0" applyAlignment="1" applyFont="1">
      <alignment shrinkToFit="0" wrapText="1"/>
    </xf>
    <xf borderId="0" fillId="3" fontId="5" numFmtId="0" xfId="0" applyAlignment="1" applyFill="1" applyFont="1">
      <alignment shrinkToFit="0" wrapText="1"/>
    </xf>
    <xf borderId="0" fillId="5" fontId="3" numFmtId="0" xfId="0" applyAlignment="1" applyFill="1" applyFont="1">
      <alignment horizontal="right"/>
    </xf>
    <xf borderId="0" fillId="5" fontId="3" numFmtId="10" xfId="0" applyAlignment="1" applyFill="1" applyFont="1" applyNumberFormat="1">
      <alignment horizontal="center"/>
    </xf>
    <xf borderId="0" fillId="5" fontId="3" numFmtId="166" xfId="0" applyAlignment="1" applyFill="1" applyFont="1" applyNumberFormat="1">
      <alignment horizontal="right"/>
    </xf>
    <xf borderId="0" fillId="7" fontId="3" numFmtId="0" xfId="0" applyAlignment="1" applyFill="1" applyFont="1">
      <alignment horizontal="center" vertical="bottom"/>
    </xf>
    <xf borderId="0" fillId="6" fontId="4" numFmtId="0" xfId="0" applyAlignment="1" applyFill="1" applyFont="1">
      <alignment horizontal="right" vertical="bottom"/>
    </xf>
    <xf borderId="0" fillId="6" fontId="4" numFmtId="164" xfId="0" applyAlignment="1" applyFill="1" applyFont="1" applyNumberFormat="1">
      <alignment horizontal="right" vertical="bottom"/>
    </xf>
    <xf borderId="0" fillId="7" fontId="3" numFmtId="0" xfId="0" applyAlignment="1" applyFill="1" applyFont="1">
      <alignment horizontal="right" vertical="bottom"/>
    </xf>
    <xf borderId="0" fillId="7" fontId="2" numFmtId="166" xfId="0" applyAlignment="1" applyFill="1" applyFont="1" applyNumberFormat="1">
      <alignment horizontal="right" vertical="bottom"/>
    </xf>
    <xf borderId="0" fillId="7" fontId="12" numFmtId="0" xfId="0" applyAlignment="1" applyFill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8" max="8" width="17.25"/>
  </cols>
  <sheetData>
    <row r="1">
      <c r="A1" s="1"/>
      <c r="B1" s="1"/>
      <c r="C1" s="1"/>
      <c r="D1" s="1"/>
      <c r="E1" s="1"/>
      <c r="F1" s="1"/>
      <c r="G1" s="1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3" t="s">
        <v>0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4" t="s">
        <v>1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4" t="s">
        <v>2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5" t="s">
        <v>3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/>
      <c r="B6" s="6" t="s">
        <v>4</v>
      </c>
      <c r="F6" s="6" t="s">
        <v>5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/>
      <c r="B7" s="7" t="s">
        <v>6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/>
      <c r="B8" s="8" t="s">
        <v>7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B9" s="7" t="s">
        <v>8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/>
      <c r="B10" s="8" t="s">
        <v>9</v>
      </c>
      <c r="D10" s="8" t="s">
        <v>10</v>
      </c>
      <c r="G10" s="8" t="s">
        <v>11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B11" s="7" t="s">
        <v>12</v>
      </c>
      <c r="D11" s="7" t="s">
        <v>13</v>
      </c>
      <c r="F11" s="7" t="s">
        <v>14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9" t="str">
        <f>CONCATENATE(MID(D10,8,200)," /",MID(G10,8,200),", ",TEXT($G$15,"DD")," de ",TEXT($G$15,"MMMM")," de ",TEXT($G$15,"YYYY"),".")</f>
        <v> FLORIANÓPOLIS / SC, 30 de dezembro de 1899.</v>
      </c>
      <c r="F12" s="10" t="s">
        <v>15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1"/>
      <c r="C13" s="1"/>
      <c r="D13" s="1"/>
      <c r="E13" s="1"/>
      <c r="F13" s="1"/>
      <c r="G13" s="1"/>
      <c r="H13" s="2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4" t="s">
        <v>16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11" t="s">
        <v>17</v>
      </c>
      <c r="C15" s="8" t="s">
        <v>18</v>
      </c>
      <c r="G15" s="1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13" t="s">
        <v>19</v>
      </c>
      <c r="C16" s="7" t="s">
        <v>20</v>
      </c>
      <c r="G16" s="14" t="s">
        <v>21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11" t="s">
        <v>22</v>
      </c>
      <c r="C17" s="8" t="s">
        <v>23</v>
      </c>
      <c r="G17" s="1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13" t="s">
        <v>24</v>
      </c>
      <c r="C18" s="7" t="s">
        <v>25</v>
      </c>
      <c r="G18" s="14">
        <v>12.0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1"/>
      <c r="C19" s="1"/>
      <c r="D19" s="1"/>
      <c r="E19" s="1"/>
      <c r="F19" s="1"/>
      <c r="G19" s="1"/>
      <c r="H19" s="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4" t="s">
        <v>26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1"/>
      <c r="B21" s="16" t="s">
        <v>27</v>
      </c>
      <c r="D21" s="17" t="s">
        <v>28</v>
      </c>
      <c r="F21" s="16" t="s">
        <v>29</v>
      </c>
      <c r="G21" s="16" t="s">
        <v>30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18"/>
      <c r="B22" s="19" t="s">
        <v>31</v>
      </c>
      <c r="D22" s="20">
        <v>1.0</v>
      </c>
      <c r="F22" s="20" t="s">
        <v>32</v>
      </c>
      <c r="G22" s="19">
        <v>2.0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1"/>
      <c r="B23" s="1"/>
      <c r="C23" s="1"/>
      <c r="D23" s="1"/>
      <c r="E23" s="1"/>
      <c r="F23" s="1"/>
      <c r="G23" s="1"/>
      <c r="H23" s="2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1"/>
      <c r="B24" s="4" t="s">
        <v>33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1"/>
      <c r="B25" s="16" t="s">
        <v>34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1"/>
      <c r="B26" s="4" t="s">
        <v>35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1"/>
      <c r="B27" s="21" t="s">
        <v>17</v>
      </c>
      <c r="C27" s="22" t="s">
        <v>36</v>
      </c>
      <c r="G27" s="2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1"/>
      <c r="B28" s="24" t="s">
        <v>19</v>
      </c>
      <c r="C28" s="25" t="s">
        <v>37</v>
      </c>
      <c r="G28" s="26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1"/>
      <c r="B29" s="21" t="s">
        <v>22</v>
      </c>
      <c r="C29" s="22" t="s">
        <v>38</v>
      </c>
      <c r="G29" s="27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1"/>
      <c r="B30" s="24" t="s">
        <v>24</v>
      </c>
      <c r="C30" s="25" t="s">
        <v>39</v>
      </c>
      <c r="G30" s="20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1"/>
      <c r="B31" s="21" t="s">
        <v>40</v>
      </c>
      <c r="C31" s="22" t="s">
        <v>41</v>
      </c>
      <c r="G31" s="28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18"/>
      <c r="B32" s="24" t="s">
        <v>42</v>
      </c>
      <c r="C32" s="25" t="s">
        <v>43</v>
      </c>
      <c r="G32" s="29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1"/>
      <c r="B33" s="21" t="s">
        <v>44</v>
      </c>
      <c r="C33" s="22" t="s">
        <v>45</v>
      </c>
      <c r="G33" s="2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1"/>
      <c r="B34" s="1"/>
      <c r="C34" s="1"/>
      <c r="D34" s="1"/>
      <c r="E34" s="1"/>
      <c r="F34" s="1"/>
      <c r="G34" s="1"/>
      <c r="H34" s="2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1"/>
      <c r="B35" s="30" t="s">
        <v>46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1"/>
      <c r="B36" s="31">
        <v>1.0</v>
      </c>
      <c r="C36" s="32" t="s">
        <v>47</v>
      </c>
      <c r="G36" s="33" t="s">
        <v>48</v>
      </c>
      <c r="H36" s="34" t="s">
        <v>49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1"/>
      <c r="B37" s="35" t="s">
        <v>17</v>
      </c>
      <c r="C37" s="36" t="s">
        <v>50</v>
      </c>
      <c r="G37" s="37">
        <v>1.0</v>
      </c>
      <c r="H37" s="38" t="str">
        <f>G29</f>
        <v/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1"/>
      <c r="B38" s="39" t="s">
        <v>19</v>
      </c>
      <c r="C38" s="7" t="s">
        <v>51</v>
      </c>
      <c r="D38" s="40" t="s">
        <v>52</v>
      </c>
      <c r="E38" s="41"/>
      <c r="G38" s="42">
        <f>IF(D38="SIM",30%,0%)</f>
        <v>0</v>
      </c>
      <c r="H38" s="43" t="str">
        <f>ROUND(SALARIO_BASE*$G$38,2)</f>
        <v>#NAME?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1"/>
      <c r="B39" s="35" t="s">
        <v>22</v>
      </c>
      <c r="C39" s="36" t="s">
        <v>53</v>
      </c>
      <c r="D39" s="44" t="s">
        <v>54</v>
      </c>
      <c r="E39" s="44" t="s">
        <v>55</v>
      </c>
      <c r="G39" s="37">
        <f>ifs(D38="SIM",0%,D39="MÁXIMO",40%,D39="MÉDIO",20%,D39="MÍNIMO",10%,D39="NÃO",0%)</f>
        <v>0.2</v>
      </c>
      <c r="H39" s="38" t="str">
        <f>IF($E$39="SALÁRIO MÍNIMO",ROUND($G$39*SAL_MINIMO,2),IF($E$39="SALÁRIO-BASE",ROUND($G$39*SALARIO_BASE,2),0))</f>
        <v>#NAME?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1"/>
      <c r="B40" s="39" t="s">
        <v>24</v>
      </c>
      <c r="C40" s="7" t="s">
        <v>56</v>
      </c>
      <c r="D40" s="40" t="s">
        <v>52</v>
      </c>
      <c r="E40" s="41"/>
      <c r="G40" s="42">
        <f>IF(D40="SIM",20%,0%)</f>
        <v>0</v>
      </c>
      <c r="H40" s="43">
        <f>ROUND(IF($D$40="SIM",(8*(DIAS_TRABALHADOS))*(((SALARIO_BASE+PERICULOSIDADE)/220)*$G$40),0),2)</f>
        <v>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1"/>
      <c r="B41" s="35" t="s">
        <v>40</v>
      </c>
      <c r="C41" s="36" t="s">
        <v>57</v>
      </c>
      <c r="G41" s="37">
        <v>1.2</v>
      </c>
      <c r="H41" s="38">
        <f>ROUND(IF($D$40="SIM",(1*(DIAS_TRABALHADOS))*(((SALARIO_BASE+PERICULOSIDADE)/220)*$G$41),0),2)</f>
        <v>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1"/>
      <c r="B42" s="39" t="s">
        <v>42</v>
      </c>
      <c r="C42" s="7" t="s">
        <v>58</v>
      </c>
      <c r="G42" s="42">
        <v>0.0</v>
      </c>
      <c r="H42" s="43" t="str">
        <f>SALARIO_BASE*G42</f>
        <v>#NAME?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1"/>
      <c r="B43" s="45" t="s">
        <v>59</v>
      </c>
      <c r="H43" s="46" t="str">
        <f>SUM($H$37:$H$42)</f>
        <v>#NAME?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1"/>
      <c r="B44" s="1"/>
      <c r="C44" s="1"/>
      <c r="D44" s="1"/>
      <c r="E44" s="1"/>
      <c r="F44" s="1"/>
      <c r="G44" s="1"/>
      <c r="H44" s="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1"/>
      <c r="B45" s="30" t="s">
        <v>60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1"/>
      <c r="B46" s="4" t="s">
        <v>61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1"/>
      <c r="B47" s="47">
        <v>44198.0</v>
      </c>
      <c r="C47" s="32" t="s">
        <v>47</v>
      </c>
      <c r="G47" s="33" t="s">
        <v>48</v>
      </c>
      <c r="H47" s="34" t="s">
        <v>49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1"/>
      <c r="B48" s="35" t="s">
        <v>17</v>
      </c>
      <c r="C48" s="36" t="s">
        <v>62</v>
      </c>
      <c r="G48" s="37">
        <f>1/12</f>
        <v>0.08333333333</v>
      </c>
      <c r="H48" s="38" t="str">
        <f>ROUND(MODULO_1*$G$48,2)</f>
        <v>#NAME?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1"/>
      <c r="B49" s="39" t="s">
        <v>19</v>
      </c>
      <c r="C49" s="7" t="s">
        <v>63</v>
      </c>
      <c r="G49" s="42">
        <f>((1+1/3)/12)</f>
        <v>0.1111111111</v>
      </c>
      <c r="H49" s="43" t="str">
        <f>ROUND(MODULO_1*$G$49,2)</f>
        <v>#NAME?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1"/>
      <c r="B50" s="31" t="s">
        <v>64</v>
      </c>
      <c r="G50" s="48">
        <f>SUM($G$48:$G$49)</f>
        <v>0.1944444444</v>
      </c>
      <c r="H50" s="49" t="str">
        <f>SUM($H$48:$H$49)</f>
        <v>#NAME?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1"/>
      <c r="B51" s="1"/>
      <c r="C51" s="1"/>
      <c r="D51" s="1"/>
      <c r="E51" s="1"/>
      <c r="F51" s="1"/>
      <c r="G51" s="1"/>
      <c r="H51" s="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4" t="s">
        <v>65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1"/>
      <c r="B53" s="47">
        <v>44229.0</v>
      </c>
      <c r="C53" s="32" t="s">
        <v>47</v>
      </c>
      <c r="G53" s="33" t="s">
        <v>48</v>
      </c>
      <c r="H53" s="34" t="s">
        <v>49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18"/>
      <c r="B54" s="50" t="s">
        <v>17</v>
      </c>
      <c r="C54" s="51" t="s">
        <v>66</v>
      </c>
      <c r="D54" s="52" t="s">
        <v>67</v>
      </c>
      <c r="E54" s="53" t="s">
        <v>52</v>
      </c>
      <c r="F54" s="18"/>
      <c r="G54" s="54"/>
      <c r="H54" s="55" t="str">
        <f>ROUND((MODULO_1+MODULO_2.1)*$G$54,2)</f>
        <v>#NAME?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1"/>
      <c r="B55" s="39" t="s">
        <v>19</v>
      </c>
      <c r="C55" s="7" t="s">
        <v>68</v>
      </c>
      <c r="G55" s="42"/>
      <c r="H55" s="43" t="str">
        <f>ROUND((MODULO_1+MODULO_2.1)*$G$55,2)</f>
        <v>#NAME?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1"/>
      <c r="B56" s="50" t="s">
        <v>22</v>
      </c>
      <c r="C56" s="51" t="s">
        <v>69</v>
      </c>
      <c r="D56" s="56" t="s">
        <v>70</v>
      </c>
      <c r="G56" s="54"/>
      <c r="H56" s="55" t="str">
        <f>ROUND((MODULO_1+MODULO_2.1)*$G$56,2)</f>
        <v>#NAME?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1"/>
      <c r="D57" s="57" t="s">
        <v>71</v>
      </c>
      <c r="E57" s="58" t="s">
        <v>72</v>
      </c>
      <c r="F57" s="59">
        <v>1.0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1"/>
      <c r="B58" s="39" t="s">
        <v>24</v>
      </c>
      <c r="C58" s="7" t="s">
        <v>73</v>
      </c>
      <c r="G58" s="42"/>
      <c r="H58" s="43" t="str">
        <f>ROUND((MODULO_1+MODULO_2.1)*$G$58,2)</f>
        <v>#NAME?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35" t="s">
        <v>40</v>
      </c>
      <c r="C59" s="36" t="s">
        <v>74</v>
      </c>
      <c r="G59" s="37"/>
      <c r="H59" s="38" t="str">
        <f>ROUND((MODULO_1+MODULO_2.1)*$G$59,2)</f>
        <v>#NAME?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1"/>
      <c r="B60" s="39" t="s">
        <v>42</v>
      </c>
      <c r="C60" s="7" t="s">
        <v>75</v>
      </c>
      <c r="G60" s="42"/>
      <c r="H60" s="43" t="str">
        <f>ROUND((MODULO_1+MODULO_2.1)*$G$60,2)</f>
        <v>#NAME?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1"/>
      <c r="B61" s="35" t="s">
        <v>44</v>
      </c>
      <c r="C61" s="36" t="s">
        <v>76</v>
      </c>
      <c r="G61" s="37"/>
      <c r="H61" s="38" t="str">
        <f>ROUND((MODULO_1+MODULO_2.1)*$G$61,2)</f>
        <v>#NAME?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1"/>
      <c r="B62" s="39" t="s">
        <v>77</v>
      </c>
      <c r="C62" s="7" t="s">
        <v>78</v>
      </c>
      <c r="G62" s="42"/>
      <c r="H62" s="43" t="str">
        <f>ROUND((MODULO_1+MODULO_2.1)*$G$62,2)</f>
        <v>#NAME?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1"/>
      <c r="B63" s="31" t="s">
        <v>64</v>
      </c>
      <c r="G63" s="48">
        <f>SUM($G$54:$G$62)</f>
        <v>0</v>
      </c>
      <c r="H63" s="49" t="str">
        <f>SUM(H54:H62)</f>
        <v>#NAME?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1"/>
      <c r="B64" s="1"/>
      <c r="C64" s="1"/>
      <c r="D64" s="1"/>
      <c r="E64" s="1"/>
      <c r="F64" s="1"/>
      <c r="G64" s="1"/>
      <c r="H64" s="2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1"/>
      <c r="B65" s="4" t="s">
        <v>79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1"/>
      <c r="B66" s="47">
        <v>44257.0</v>
      </c>
      <c r="C66" s="32" t="s">
        <v>47</v>
      </c>
      <c r="G66" s="33" t="s">
        <v>80</v>
      </c>
      <c r="H66" s="34" t="s">
        <v>81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50" t="s">
        <v>17</v>
      </c>
      <c r="C67" s="36" t="s">
        <v>82</v>
      </c>
      <c r="D67" s="60" t="s">
        <v>83</v>
      </c>
      <c r="G67" s="61"/>
      <c r="H67" s="38" t="str">
        <f>ROUND(DIAS_TRABALHADOS*$G$67*2,2)</f>
        <v>#NAME?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C68" s="36" t="s">
        <v>84</v>
      </c>
      <c r="G68" s="37"/>
      <c r="H68" s="38" t="str">
        <f>ROUND(-(SALARIO_BASE*$G$68),2)</f>
        <v>#NAME?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39" t="s">
        <v>19</v>
      </c>
      <c r="C69" s="7" t="s">
        <v>85</v>
      </c>
      <c r="D69" s="62" t="s">
        <v>83</v>
      </c>
      <c r="G69" s="63"/>
      <c r="H69" s="43" t="str">
        <f>ROUND(DIAS_TRABALHADOS*$G$69,2)</f>
        <v>#NAME?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41"/>
      <c r="C70" s="7" t="s">
        <v>86</v>
      </c>
      <c r="G70" s="64"/>
      <c r="H70" s="43" t="str">
        <f>-H69*G70</f>
        <v>#NAME?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1"/>
      <c r="B71" s="35" t="s">
        <v>22</v>
      </c>
      <c r="C71" s="36" t="s">
        <v>87</v>
      </c>
      <c r="G71" s="65" t="s">
        <v>88</v>
      </c>
      <c r="H71" s="38">
        <v>11.0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39" t="s">
        <v>24</v>
      </c>
      <c r="C72" s="7" t="s">
        <v>89</v>
      </c>
      <c r="G72" s="13" t="s">
        <v>88</v>
      </c>
      <c r="H72" s="43">
        <v>5.0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1"/>
      <c r="B73" s="35" t="s">
        <v>40</v>
      </c>
      <c r="C73" s="36" t="s">
        <v>90</v>
      </c>
      <c r="G73" s="65" t="s">
        <v>88</v>
      </c>
      <c r="H73" s="38">
        <v>60.03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39" t="s">
        <v>42</v>
      </c>
      <c r="C74" s="7" t="s">
        <v>58</v>
      </c>
      <c r="G74" s="13" t="s">
        <v>88</v>
      </c>
      <c r="H74" s="43">
        <v>0.0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35" t="s">
        <v>44</v>
      </c>
      <c r="C75" s="36" t="s">
        <v>58</v>
      </c>
      <c r="G75" s="65" t="s">
        <v>88</v>
      </c>
      <c r="H75" s="38">
        <v>0.0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1"/>
      <c r="B76" s="31" t="s">
        <v>64</v>
      </c>
      <c r="H76" s="49" t="str">
        <f>SUM($H$67:$H$75)</f>
        <v>#NAME?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1"/>
      <c r="B77" s="1"/>
      <c r="C77" s="1"/>
      <c r="D77" s="1"/>
      <c r="E77" s="1"/>
      <c r="F77" s="1"/>
      <c r="G77" s="1"/>
      <c r="H77" s="2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4" t="s">
        <v>91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1"/>
      <c r="B79" s="47">
        <v>44653.0</v>
      </c>
      <c r="C79" s="32" t="s">
        <v>47</v>
      </c>
      <c r="G79" s="66"/>
      <c r="H79" s="34" t="s">
        <v>81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35" t="s">
        <v>17</v>
      </c>
      <c r="C80" s="36" t="s">
        <v>92</v>
      </c>
      <c r="G80" s="67">
        <v>0.0</v>
      </c>
      <c r="H80" s="38" t="str">
        <f>(MODULO_1/220)*1.5*DIAS_TRABALHADOS*0.5*G80</f>
        <v>#NAME?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31" t="s">
        <v>64</v>
      </c>
      <c r="H81" s="49" t="str">
        <f>H80</f>
        <v>#NAME?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1"/>
      <c r="C82" s="1"/>
      <c r="D82" s="1"/>
      <c r="E82" s="1"/>
      <c r="F82" s="1"/>
      <c r="G82" s="1"/>
      <c r="H82" s="2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4" t="s">
        <v>93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31">
        <v>2.0</v>
      </c>
      <c r="C84" s="32" t="s">
        <v>47</v>
      </c>
      <c r="H84" s="34" t="s">
        <v>49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68">
        <v>44198.0</v>
      </c>
      <c r="C85" s="58" t="s">
        <v>94</v>
      </c>
      <c r="H85" s="69" t="str">
        <f>MODULO_2.1</f>
        <v>#NAME?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1"/>
      <c r="B86" s="70">
        <v>44229.0</v>
      </c>
      <c r="C86" s="5" t="s">
        <v>95</v>
      </c>
      <c r="H86" s="71" t="str">
        <f>MODULO_2.2</f>
        <v>#NAME?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68">
        <v>44257.0</v>
      </c>
      <c r="C87" s="58" t="s">
        <v>96</v>
      </c>
      <c r="H87" s="69" t="str">
        <f>MODULO_2.3</f>
        <v>#NAME?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70">
        <v>44653.0</v>
      </c>
      <c r="C88" s="5" t="s">
        <v>97</v>
      </c>
      <c r="H88" s="71" t="str">
        <f>MODULO_2.4</f>
        <v>#NAME?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1"/>
      <c r="B89" s="45" t="s">
        <v>98</v>
      </c>
      <c r="H89" s="46" t="str">
        <f>SUM($H$85:$H$88)</f>
        <v>#NAME?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1"/>
      <c r="B90" s="1"/>
      <c r="C90" s="1"/>
      <c r="D90" s="1"/>
      <c r="E90" s="1"/>
      <c r="F90" s="1"/>
      <c r="G90" s="1"/>
      <c r="H90" s="2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30" t="s">
        <v>99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31">
        <v>3.0</v>
      </c>
      <c r="C92" s="32" t="s">
        <v>47</v>
      </c>
      <c r="G92" s="33" t="s">
        <v>48</v>
      </c>
      <c r="H92" s="34" t="s">
        <v>49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35" t="s">
        <v>17</v>
      </c>
      <c r="C93" s="58" t="s">
        <v>100</v>
      </c>
      <c r="G93" s="37"/>
      <c r="H93" s="38" t="str">
        <f>ROUND(MODULO_1*$G$93,2)</f>
        <v>#NAME?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1"/>
      <c r="B94" s="39" t="s">
        <v>19</v>
      </c>
      <c r="C94" s="7" t="s">
        <v>101</v>
      </c>
      <c r="G94" s="42"/>
      <c r="H94" s="43" t="str">
        <f>ROUND(MODULO_1*$G$94,2)</f>
        <v>#NAME?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35" t="s">
        <v>22</v>
      </c>
      <c r="C95" s="36" t="s">
        <v>102</v>
      </c>
      <c r="G95" s="37"/>
      <c r="H95" s="38" t="str">
        <f>ROUND(MODULO_1*$G$95,2)</f>
        <v>#NAME?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39" t="s">
        <v>24</v>
      </c>
      <c r="C96" s="5" t="s">
        <v>103</v>
      </c>
      <c r="G96" s="42"/>
      <c r="H96" s="43" t="str">
        <f>ROUND(MODULO_1*$G$96,2)</f>
        <v>#NAME?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35" t="s">
        <v>40</v>
      </c>
      <c r="C97" s="36" t="s">
        <v>104</v>
      </c>
      <c r="G97" s="37"/>
      <c r="H97" s="38" t="str">
        <f>ROUND(MODULO_1*$G$97,2)</f>
        <v>#NAME?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39" t="s">
        <v>42</v>
      </c>
      <c r="C98" s="7" t="s">
        <v>105</v>
      </c>
      <c r="G98" s="72"/>
      <c r="H98" s="43" t="str">
        <f>ROUND(MODULO_1*$G$98,2)</f>
        <v>#NAME?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45" t="s">
        <v>98</v>
      </c>
      <c r="G99" s="73">
        <f>SUM(G93:G98)</f>
        <v>0</v>
      </c>
      <c r="H99" s="46" t="str">
        <f>SUM($H$93:$H$98)</f>
        <v>#NAME?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1"/>
      <c r="B100" s="1"/>
      <c r="C100" s="1"/>
      <c r="D100" s="1"/>
      <c r="E100" s="1"/>
      <c r="F100" s="1"/>
      <c r="G100" s="1"/>
      <c r="H100" s="2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30" t="s">
        <v>106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4" t="s">
        <v>107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47">
        <v>44200.0</v>
      </c>
      <c r="C103" s="32" t="s">
        <v>47</v>
      </c>
      <c r="G103" s="33" t="s">
        <v>48</v>
      </c>
      <c r="H103" s="34" t="s">
        <v>49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35" t="s">
        <v>17</v>
      </c>
      <c r="C104" s="58" t="s">
        <v>108</v>
      </c>
      <c r="G104" s="74"/>
      <c r="H104" s="38" t="str">
        <f t="shared" ref="H104:H109" si="1">(MODULO_1+MODULO_2+MODULO_3)*G104</f>
        <v>#NAME?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39" t="s">
        <v>19</v>
      </c>
      <c r="C105" s="7" t="s">
        <v>109</v>
      </c>
      <c r="G105" s="42"/>
      <c r="H105" s="43" t="str">
        <f t="shared" si="1"/>
        <v>#NAME?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35" t="s">
        <v>22</v>
      </c>
      <c r="C106" s="36" t="s">
        <v>110</v>
      </c>
      <c r="G106" s="37"/>
      <c r="H106" s="38" t="str">
        <f t="shared" si="1"/>
        <v>#NAME?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39" t="s">
        <v>24</v>
      </c>
      <c r="C107" s="5" t="s">
        <v>111</v>
      </c>
      <c r="G107" s="42"/>
      <c r="H107" s="43" t="str">
        <f t="shared" si="1"/>
        <v>#NAME?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35" t="s">
        <v>40</v>
      </c>
      <c r="C108" s="36" t="s">
        <v>112</v>
      </c>
      <c r="G108" s="37"/>
      <c r="H108" s="38" t="str">
        <f t="shared" si="1"/>
        <v>#NAME?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39" t="s">
        <v>42</v>
      </c>
      <c r="C109" s="7" t="s">
        <v>113</v>
      </c>
      <c r="G109" s="42"/>
      <c r="H109" s="43" t="str">
        <f t="shared" si="1"/>
        <v>#NAME?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31" t="s">
        <v>64</v>
      </c>
      <c r="G110" s="48">
        <f>SUM($G$104:$G$109)</f>
        <v>0</v>
      </c>
      <c r="H110" s="49" t="str">
        <f>SUM($H$104:$H$109)</f>
        <v>#NAME?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1"/>
      <c r="C111" s="1"/>
      <c r="D111" s="1"/>
      <c r="E111" s="1"/>
      <c r="F111" s="1"/>
      <c r="G111" s="1"/>
      <c r="H111" s="2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4" t="s">
        <v>114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47">
        <v>44231.0</v>
      </c>
      <c r="C113" s="32" t="s">
        <v>47</v>
      </c>
      <c r="G113" s="66"/>
      <c r="H113" s="34" t="s">
        <v>49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35" t="s">
        <v>17</v>
      </c>
      <c r="C114" s="36" t="s">
        <v>115</v>
      </c>
      <c r="G114" s="67">
        <v>0.0</v>
      </c>
      <c r="H114" s="38" t="str">
        <f>((MODULO_1+MODULO_2+MODULO_3)/220)*1*DIAS_TRABALHADOS*G114</f>
        <v>#NAME?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31" t="s">
        <v>64</v>
      </c>
      <c r="G115" s="75"/>
      <c r="H115" s="49" t="str">
        <f>SUM($H$114)</f>
        <v>#NAME?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1"/>
      <c r="C116" s="1"/>
      <c r="D116" s="1"/>
      <c r="E116" s="1"/>
      <c r="F116" s="1"/>
      <c r="G116" s="1"/>
      <c r="H116" s="2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4" t="s">
        <v>116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31">
        <v>4.0</v>
      </c>
      <c r="C118" s="32" t="s">
        <v>47</v>
      </c>
      <c r="G118" s="33" t="s">
        <v>48</v>
      </c>
      <c r="H118" s="34" t="s">
        <v>49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68">
        <v>44200.0</v>
      </c>
      <c r="C119" s="58" t="s">
        <v>117</v>
      </c>
      <c r="G119" s="76">
        <f>$G$110</f>
        <v>0</v>
      </c>
      <c r="H119" s="69" t="str">
        <f>MODULO_4.1</f>
        <v>#NAME?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70">
        <v>44231.0</v>
      </c>
      <c r="C120" s="5" t="s">
        <v>118</v>
      </c>
      <c r="G120" s="77" t="str">
        <f>$G$115</f>
        <v/>
      </c>
      <c r="H120" s="71" t="str">
        <f>MODULO_4.2</f>
        <v>#NAME?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45" t="s">
        <v>119</v>
      </c>
      <c r="H121" s="46" t="str">
        <f>SUM($H$119:$H$120)</f>
        <v>#NAME?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1"/>
      <c r="C122" s="1"/>
      <c r="D122" s="1"/>
      <c r="E122" s="1"/>
      <c r="F122" s="1"/>
      <c r="G122" s="1"/>
      <c r="H122" s="2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30" t="s">
        <v>120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31">
        <v>5.0</v>
      </c>
      <c r="C124" s="32" t="s">
        <v>47</v>
      </c>
      <c r="H124" s="34" t="s">
        <v>81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35" t="s">
        <v>17</v>
      </c>
      <c r="C125" s="36" t="s">
        <v>121</v>
      </c>
      <c r="H125" s="78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39" t="s">
        <v>19</v>
      </c>
      <c r="C126" s="7" t="s">
        <v>122</v>
      </c>
      <c r="H126" s="79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35" t="s">
        <v>22</v>
      </c>
      <c r="C127" s="36" t="s">
        <v>123</v>
      </c>
      <c r="H127" s="78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39" t="s">
        <v>24</v>
      </c>
      <c r="C128" s="7" t="s">
        <v>58</v>
      </c>
      <c r="H128" s="79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35" t="s">
        <v>40</v>
      </c>
      <c r="C129" s="36" t="s">
        <v>58</v>
      </c>
      <c r="H129" s="78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39" t="s">
        <v>42</v>
      </c>
      <c r="C130" s="7" t="s">
        <v>58</v>
      </c>
      <c r="H130" s="79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45" t="s">
        <v>98</v>
      </c>
      <c r="H131" s="46">
        <f>SUM($H$125:$H$130)</f>
        <v>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1"/>
      <c r="C132" s="1"/>
      <c r="D132" s="1"/>
      <c r="E132" s="1"/>
      <c r="F132" s="1"/>
      <c r="G132" s="1"/>
      <c r="H132" s="2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80"/>
      <c r="B133" s="80"/>
      <c r="C133" s="81" t="s">
        <v>124</v>
      </c>
      <c r="G133" s="82">
        <f>SUM(G50,G63,G99,G110)</f>
        <v>0.1944444444</v>
      </c>
      <c r="H133" s="80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1"/>
      <c r="C134" s="1"/>
      <c r="D134" s="1"/>
      <c r="E134" s="1"/>
      <c r="F134" s="1"/>
      <c r="G134" s="1"/>
      <c r="H134" s="2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83" t="s">
        <v>125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84">
        <v>6.0</v>
      </c>
      <c r="C136" s="85" t="s">
        <v>47</v>
      </c>
      <c r="G136" s="86" t="s">
        <v>48</v>
      </c>
      <c r="H136" s="87" t="s">
        <v>49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88" t="s">
        <v>17</v>
      </c>
      <c r="C137" s="89" t="s">
        <v>126</v>
      </c>
      <c r="G137" s="90"/>
      <c r="H137" s="55" t="str">
        <f>(MODULO_1+MODULO_2+MODULO_3+MODULO_4+MODULO_5)*G137</f>
        <v>#NAME?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91" t="s">
        <v>19</v>
      </c>
      <c r="C138" s="92" t="s">
        <v>127</v>
      </c>
      <c r="G138" s="93"/>
      <c r="H138" s="94" t="str">
        <f>(MODULO_1+MODULO_2+MODULO_3+MODULO_4+MODULO_5+CUSTO_INDIRETO)*G138</f>
        <v>#NAME?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88" t="s">
        <v>128</v>
      </c>
      <c r="C139" s="89" t="s">
        <v>129</v>
      </c>
      <c r="D139" s="89" t="s">
        <v>130</v>
      </c>
      <c r="F139" s="53" t="s">
        <v>131</v>
      </c>
      <c r="G139" s="95"/>
      <c r="H139" s="96" t="str">
        <f>SUM($H$140:$H$142)</f>
        <v>#NAME?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8"/>
      <c r="B140" s="97" t="s">
        <v>132</v>
      </c>
      <c r="C140" s="25" t="s">
        <v>133</v>
      </c>
      <c r="D140" s="98" t="str">
        <f t="shared" ref="D140:D141" si="2">IFS($F$139="LUCRO REAL","A licitante deve informar a alíquota ajustada conforme apuração do percentual médio de recolhimento, em consonância com a legislação fiscal vigente",$F$139="SIMPLES NACIONAL","A licitante deve informar a alíquota efetiva, conforme cálculo previsto na Lei Complementar 123/2006",$F$139="LUCRO PRESUMIDO","")</f>
        <v>A licitante deve informar a alíquota efetiva, conforme cálculo previsto na Lei Complementar 123/2006</v>
      </c>
      <c r="G140" s="99"/>
      <c r="H140" s="94" t="str">
        <f>(MODULO_1+MODULO_2+MODULO_3+MODULO_4+MODULO_5+CUSTO_INDIRETO+LUCRO)/(1-($G$140+G141+$G$144))*$G$140</f>
        <v>#NAME?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8"/>
      <c r="B141" s="50" t="s">
        <v>134</v>
      </c>
      <c r="C141" s="51" t="s">
        <v>135</v>
      </c>
      <c r="D141" s="100" t="str">
        <f t="shared" si="2"/>
        <v>A licitante deve informar a alíquota efetiva, conforme cálculo previsto na Lei Complementar 123/2006</v>
      </c>
      <c r="G141" s="54"/>
      <c r="H141" s="55" t="str">
        <f>(MODULO_1+MODULO_2+MODULO_3+MODULO_4+MODULO_5+CUSTO_INDIRETO+LUCRO)/(1-($G$140+G141+$G$144))*$G$141</f>
        <v>#NAME?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97" t="s">
        <v>136</v>
      </c>
      <c r="C142" s="101" t="str">
        <f>IF(E54="SIM","Licitante deve informar alíquota CPRB (Contribuição Previdenciária sobre a Receita Bruta) conforme Lei 12.546/2011","Outros (especificar)")</f>
        <v>Outros (especificar)</v>
      </c>
      <c r="G142" s="99"/>
      <c r="H142" s="94" t="str">
        <f>IF(E54="NÃO",(MODULO_1+MODULO_2+MODULO_3+MODULO_4+MODULO_5+CUSTO_INDIRETO+LUCRO)*G142,"INFORMAR")</f>
        <v>#NAME?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88" t="s">
        <v>137</v>
      </c>
      <c r="C143" s="89" t="s">
        <v>138</v>
      </c>
      <c r="G143" s="95"/>
      <c r="H143" s="96" t="str">
        <f>SUM($H$144)</f>
        <v>#NAME?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97" t="s">
        <v>139</v>
      </c>
      <c r="C144" s="25" t="s">
        <v>140</v>
      </c>
      <c r="G144" s="99"/>
      <c r="H144" s="94" t="str">
        <f>(MODULO_1+MODULO_2+MODULO_3+MODULO_4+MODULO_5+CUSTO_INDIRETO+LUCRO)/(1-($G$140+G141+$G$144))*$G$144</f>
        <v>#NAME?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102" t="s">
        <v>119</v>
      </c>
      <c r="G145" s="103">
        <f>(1+G137)*(1+G138)/(1-(G139+G143))-1</f>
        <v>0</v>
      </c>
      <c r="H145" s="104" t="str">
        <f>SUM(CUSTO_INDIRETO,LUCRO,$H$139,$H$143)</f>
        <v>#NAME?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1"/>
      <c r="C146" s="1"/>
      <c r="D146" s="1"/>
      <c r="E146" s="1"/>
      <c r="F146" s="1"/>
      <c r="G146" s="1"/>
      <c r="H146" s="2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105" t="s">
        <v>141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32" t="s">
        <v>142</v>
      </c>
      <c r="H148" s="34" t="s">
        <v>49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35" t="s">
        <v>17</v>
      </c>
      <c r="C149" s="36" t="s">
        <v>143</v>
      </c>
      <c r="H149" s="38" t="str">
        <f>MODULO_1</f>
        <v>#NAME?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39" t="s">
        <v>19</v>
      </c>
      <c r="C150" s="7" t="s">
        <v>144</v>
      </c>
      <c r="H150" s="43" t="str">
        <f>MODULO_2</f>
        <v>#NAME?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35" t="s">
        <v>22</v>
      </c>
      <c r="C151" s="36" t="s">
        <v>145</v>
      </c>
      <c r="H151" s="38" t="str">
        <f>MODULO_3</f>
        <v>#NAME?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39" t="s">
        <v>24</v>
      </c>
      <c r="C152" s="7" t="s">
        <v>146</v>
      </c>
      <c r="H152" s="43" t="str">
        <f>MODULO_4</f>
        <v>#NAME?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35" t="s">
        <v>40</v>
      </c>
      <c r="C153" s="36" t="s">
        <v>147</v>
      </c>
      <c r="H153" s="38" t="str">
        <f>MODULO_5</f>
        <v>#NAME?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106" t="s">
        <v>148</v>
      </c>
      <c r="H154" s="107" t="str">
        <f>SUM($H$149:$H$153)</f>
        <v>#NAME?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35" t="s">
        <v>42</v>
      </c>
      <c r="C155" s="36" t="s">
        <v>149</v>
      </c>
      <c r="H155" s="38" t="str">
        <f>MODULO_6</f>
        <v>#NAME?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108" t="s">
        <v>150</v>
      </c>
      <c r="H156" s="109" t="str">
        <f>SUM($H$154:$H$155)</f>
        <v>#NAME?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108" t="s">
        <v>151</v>
      </c>
      <c r="E157" s="110">
        <f>$D$22</f>
        <v>1</v>
      </c>
      <c r="F157" s="108" t="s">
        <v>152</v>
      </c>
      <c r="H157" s="109" t="str">
        <f>$H$156*$E$157</f>
        <v>#NAME?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108" t="s">
        <v>153</v>
      </c>
      <c r="E158" s="110">
        <f>$G$22</f>
        <v>2</v>
      </c>
      <c r="F158" s="108" t="s">
        <v>154</v>
      </c>
      <c r="H158" s="109" t="str">
        <f>$H$157*$E$158</f>
        <v>#NAME?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108" t="s">
        <v>155</v>
      </c>
      <c r="H159" s="109" t="str">
        <f>$H$158*$G$18</f>
        <v>#NAME?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1"/>
      <c r="C160" s="1"/>
      <c r="D160" s="1"/>
      <c r="E160" s="1"/>
      <c r="F160" s="1"/>
      <c r="G160" s="1"/>
      <c r="H160" s="2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67">
    <mergeCell ref="C27:F27"/>
    <mergeCell ref="C28:F28"/>
    <mergeCell ref="G28:H28"/>
    <mergeCell ref="C29:F29"/>
    <mergeCell ref="G29:H29"/>
    <mergeCell ref="C30:F30"/>
    <mergeCell ref="G30:H30"/>
    <mergeCell ref="C31:F31"/>
    <mergeCell ref="G31:H31"/>
    <mergeCell ref="C32:F32"/>
    <mergeCell ref="G32:H32"/>
    <mergeCell ref="C33:F33"/>
    <mergeCell ref="G33:H33"/>
    <mergeCell ref="B35:H35"/>
    <mergeCell ref="B2:H2"/>
    <mergeCell ref="B3:H3"/>
    <mergeCell ref="B4:H4"/>
    <mergeCell ref="B5:H5"/>
    <mergeCell ref="B6:E6"/>
    <mergeCell ref="F6:H6"/>
    <mergeCell ref="B7:H7"/>
    <mergeCell ref="B8:H8"/>
    <mergeCell ref="B9:H9"/>
    <mergeCell ref="B10:C10"/>
    <mergeCell ref="D10:F10"/>
    <mergeCell ref="G10:H10"/>
    <mergeCell ref="B11:C11"/>
    <mergeCell ref="F11:H11"/>
    <mergeCell ref="D11:E11"/>
    <mergeCell ref="B12:E12"/>
    <mergeCell ref="F12:H12"/>
    <mergeCell ref="B14:H14"/>
    <mergeCell ref="C15:F15"/>
    <mergeCell ref="G15:H15"/>
    <mergeCell ref="G16:H16"/>
    <mergeCell ref="D21:E21"/>
    <mergeCell ref="G21:H21"/>
    <mergeCell ref="C16:F16"/>
    <mergeCell ref="C17:F17"/>
    <mergeCell ref="G17:H17"/>
    <mergeCell ref="C18:F18"/>
    <mergeCell ref="G18:H18"/>
    <mergeCell ref="B20:H20"/>
    <mergeCell ref="B21:C21"/>
    <mergeCell ref="B22:C22"/>
    <mergeCell ref="D22:E22"/>
    <mergeCell ref="G22:H22"/>
    <mergeCell ref="B24:H24"/>
    <mergeCell ref="B25:H25"/>
    <mergeCell ref="B26:H26"/>
    <mergeCell ref="G27:H27"/>
    <mergeCell ref="C36:F36"/>
    <mergeCell ref="C37:F37"/>
    <mergeCell ref="E38:F38"/>
    <mergeCell ref="E39:F39"/>
    <mergeCell ref="E40:F40"/>
    <mergeCell ref="C41:F41"/>
    <mergeCell ref="C42:F42"/>
    <mergeCell ref="C87:G87"/>
    <mergeCell ref="C88:G88"/>
    <mergeCell ref="B89:G89"/>
    <mergeCell ref="B91:H91"/>
    <mergeCell ref="C92:F92"/>
    <mergeCell ref="C93:F93"/>
    <mergeCell ref="C94:F94"/>
    <mergeCell ref="C95:F95"/>
    <mergeCell ref="C96:F96"/>
    <mergeCell ref="C97:F97"/>
    <mergeCell ref="C98:F98"/>
    <mergeCell ref="B99:F99"/>
    <mergeCell ref="B101:H101"/>
    <mergeCell ref="B102:H102"/>
    <mergeCell ref="B110:F110"/>
    <mergeCell ref="B112:H112"/>
    <mergeCell ref="C113:F113"/>
    <mergeCell ref="C114:F114"/>
    <mergeCell ref="B115:F115"/>
    <mergeCell ref="B117:H117"/>
    <mergeCell ref="C118:F118"/>
    <mergeCell ref="C119:F119"/>
    <mergeCell ref="C120:F120"/>
    <mergeCell ref="B121:G121"/>
    <mergeCell ref="B123:H123"/>
    <mergeCell ref="C124:G124"/>
    <mergeCell ref="C125:G125"/>
    <mergeCell ref="C126:G126"/>
    <mergeCell ref="C127:G127"/>
    <mergeCell ref="C128:G128"/>
    <mergeCell ref="C129:G129"/>
    <mergeCell ref="C130:G130"/>
    <mergeCell ref="B131:G131"/>
    <mergeCell ref="C133:F133"/>
    <mergeCell ref="B135:H135"/>
    <mergeCell ref="C136:F136"/>
    <mergeCell ref="C137:F137"/>
    <mergeCell ref="C138:F138"/>
    <mergeCell ref="D139:E139"/>
    <mergeCell ref="D140:F140"/>
    <mergeCell ref="D141:F141"/>
    <mergeCell ref="C142:F142"/>
    <mergeCell ref="C143:F143"/>
    <mergeCell ref="C144:F144"/>
    <mergeCell ref="B145:F145"/>
    <mergeCell ref="B147:H147"/>
    <mergeCell ref="B148:G148"/>
    <mergeCell ref="C149:G149"/>
    <mergeCell ref="C150:G150"/>
    <mergeCell ref="B157:D157"/>
    <mergeCell ref="B158:D158"/>
    <mergeCell ref="F158:G158"/>
    <mergeCell ref="B159:G159"/>
    <mergeCell ref="C151:G151"/>
    <mergeCell ref="C152:G152"/>
    <mergeCell ref="C153:G153"/>
    <mergeCell ref="B154:G154"/>
    <mergeCell ref="C155:G155"/>
    <mergeCell ref="B156:G156"/>
    <mergeCell ref="F157:G157"/>
    <mergeCell ref="B43:G43"/>
    <mergeCell ref="B45:H45"/>
    <mergeCell ref="B46:H46"/>
    <mergeCell ref="C47:F47"/>
    <mergeCell ref="C48:F48"/>
    <mergeCell ref="C49:F49"/>
    <mergeCell ref="B50:F50"/>
    <mergeCell ref="B52:H52"/>
    <mergeCell ref="C53:F53"/>
    <mergeCell ref="C55:F55"/>
    <mergeCell ref="B56:B57"/>
    <mergeCell ref="C56:C57"/>
    <mergeCell ref="G56:G57"/>
    <mergeCell ref="H56:H57"/>
    <mergeCell ref="D56:F56"/>
    <mergeCell ref="C58:F58"/>
    <mergeCell ref="C59:F59"/>
    <mergeCell ref="C60:F60"/>
    <mergeCell ref="C61:F61"/>
    <mergeCell ref="C62:F62"/>
    <mergeCell ref="B63:F63"/>
    <mergeCell ref="B65:H65"/>
    <mergeCell ref="C66:F66"/>
    <mergeCell ref="B67:B68"/>
    <mergeCell ref="D67:F67"/>
    <mergeCell ref="C68:F68"/>
    <mergeCell ref="D69:F69"/>
    <mergeCell ref="C70:F70"/>
    <mergeCell ref="C71:F71"/>
    <mergeCell ref="C72:F72"/>
    <mergeCell ref="C73:F73"/>
    <mergeCell ref="C74:F74"/>
    <mergeCell ref="C75:F75"/>
    <mergeCell ref="B76:G76"/>
    <mergeCell ref="B78:H78"/>
    <mergeCell ref="C79:F79"/>
    <mergeCell ref="C80:F80"/>
    <mergeCell ref="B81:G81"/>
    <mergeCell ref="B83:H83"/>
    <mergeCell ref="C84:G84"/>
    <mergeCell ref="C85:G85"/>
    <mergeCell ref="C86:G86"/>
    <mergeCell ref="C103:F103"/>
    <mergeCell ref="C104:F104"/>
    <mergeCell ref="C105:F105"/>
    <mergeCell ref="C106:F106"/>
    <mergeCell ref="C107:F107"/>
    <mergeCell ref="C108:F108"/>
    <mergeCell ref="C109:F109"/>
  </mergeCells>
  <dataValidations>
    <dataValidation type="list" allowBlank="1" showErrorMessage="1" sqref="D57">
      <formula1>"RAT = 1%,RAT = 2%,RAT = 3%"</formula1>
    </dataValidation>
    <dataValidation type="list" allowBlank="1" showErrorMessage="1" sqref="E39">
      <formula1>"SALÁRIO-BASE,SALÁRIO MÍNIMO"</formula1>
    </dataValidation>
    <dataValidation type="list" allowBlank="1" showErrorMessage="1" sqref="F139">
      <formula1>"LUCRO PRESUMIDO,LUCRO REAL,SIMPLES NACIONAL"</formula1>
    </dataValidation>
    <dataValidation type="list" allowBlank="1" showInputMessage="1" prompt="Escolha na lista a unidade de medida ou informe outro valor." sqref="F22">
      <formula1>"Posto de Serviço,Metro Quadrado,Hora Técnica Profissional,Outro (especificar)"</formula1>
    </dataValidation>
    <dataValidation type="list" allowBlank="1" showErrorMessage="1" sqref="D38 D40 E54">
      <formula1>"SIM,NÃO"</formula1>
    </dataValidation>
    <dataValidation type="list" allowBlank="1" showErrorMessage="1" sqref="D39">
      <formula1>#REF!</formula1>
    </dataValidation>
    <dataValidation type="list" allowBlank="1" showInputMessage="1" prompt="Certifique-se de estar usando os valores corretos." sqref="G32">
      <formula1>#REF!</formula1>
    </dataValidation>
    <dataValidation type="decimal" allowBlank="1" showDropDown="1" showInputMessage="1" showErrorMessage="1" prompt="Insira um número entre 0,5 e 2." sqref="F57">
      <formula1>0.5</formula1>
      <formula2>2.0</formula2>
    </dataValidation>
  </dataValidation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